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53222"/>
  <mc:AlternateContent xmlns:mc="http://schemas.openxmlformats.org/markup-compatibility/2006">
    <mc:Choice Requires="x15">
      <x15ac:absPath xmlns:x15ac="http://schemas.microsoft.com/office/spreadsheetml/2010/11/ac" url="\\DRES\Daten\TBW\Sport\Formulare\"/>
    </mc:Choice>
  </mc:AlternateContent>
  <workbookProtection workbookAlgorithmName="SHA-512" workbookHashValue="g25XXsa3OEVGleoR+BNR0JxkFu+hCJS2LCIyN08wJAOJp/rVk8WldyaS20FpjFM0bkzUjcikvFKIZl+/1xHW4g==" workbookSaltValue="4+nN8KFQNnS+7DGRwpQZHQ==" workbookSpinCount="100000" lockStructure="1"/>
  <bookViews>
    <workbookView xWindow="0" yWindow="0" windowWidth="24000" windowHeight="9510" activeTab="2"/>
  </bookViews>
  <sheets>
    <sheet name="Erläuterungen" sheetId="3" r:id="rId1"/>
    <sheet name="Allgemeines" sheetId="4" r:id="rId2"/>
    <sheet name="Zeitplan" sheetId="2" r:id="rId3"/>
    <sheet name="Hilfstabelle" sheetId="5" state="hidden" r:id="rId4"/>
  </sheets>
  <definedNames>
    <definedName name="_xlnm.Print_Titles" localSheetId="2">Zeitplan!$1:$4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8" i="2" l="1"/>
  <c r="M61" i="2"/>
  <c r="M54" i="2"/>
  <c r="M47" i="2"/>
  <c r="M40" i="2"/>
  <c r="M33" i="2"/>
  <c r="M26" i="2"/>
  <c r="M19" i="2"/>
  <c r="K68" i="2"/>
  <c r="K61" i="2"/>
  <c r="K54" i="2"/>
  <c r="K47" i="2"/>
  <c r="K40" i="2"/>
  <c r="K33" i="2"/>
  <c r="K26" i="2"/>
  <c r="K19" i="2"/>
  <c r="M74" i="2" l="1"/>
  <c r="K70" i="2"/>
  <c r="M67" i="2"/>
  <c r="K67" i="2"/>
  <c r="M60" i="2"/>
  <c r="M53" i="2"/>
  <c r="L55" i="2"/>
  <c r="M46" i="2"/>
  <c r="K46" i="2"/>
  <c r="M39" i="2"/>
  <c r="K39" i="2"/>
  <c r="M32" i="2"/>
  <c r="K32" i="2"/>
  <c r="M25" i="2"/>
  <c r="L27" i="2"/>
  <c r="L74" i="2"/>
  <c r="L67" i="2"/>
  <c r="L60" i="2"/>
  <c r="L53" i="2"/>
  <c r="L46" i="2"/>
  <c r="L39" i="2"/>
  <c r="L32" i="2"/>
  <c r="L25" i="2"/>
  <c r="L18" i="2"/>
  <c r="L11" i="2"/>
  <c r="K74" i="2"/>
  <c r="K12" i="2"/>
  <c r="J12" i="2" s="1"/>
  <c r="L5" i="2"/>
  <c r="K9" i="2"/>
  <c r="O9" i="2" s="1"/>
  <c r="K7" i="2"/>
  <c r="O7" i="2" s="1"/>
  <c r="K5" i="2"/>
  <c r="J7" i="2"/>
  <c r="AD74" i="2"/>
  <c r="AG73" i="2"/>
  <c r="AF73" i="2"/>
  <c r="AG71" i="2"/>
  <c r="AF71" i="2"/>
  <c r="AG69" i="2"/>
  <c r="AF69" i="2"/>
  <c r="AE68" i="2"/>
  <c r="AE74" i="2" s="1"/>
  <c r="AC68" i="2"/>
  <c r="AC74" i="2" s="1"/>
  <c r="AB74" i="2" s="1"/>
  <c r="AB68" i="2"/>
  <c r="AD67" i="2"/>
  <c r="AG66" i="2"/>
  <c r="AF66" i="2"/>
  <c r="AG64" i="2"/>
  <c r="AF64" i="2"/>
  <c r="AG62" i="2"/>
  <c r="AF62" i="2"/>
  <c r="AE61" i="2"/>
  <c r="AE67" i="2" s="1"/>
  <c r="AC61" i="2"/>
  <c r="AD69" i="2" s="1"/>
  <c r="AD60" i="2"/>
  <c r="AG59" i="2"/>
  <c r="AF59" i="2"/>
  <c r="AG57" i="2"/>
  <c r="AF57" i="2"/>
  <c r="AG55" i="2"/>
  <c r="AF55" i="2"/>
  <c r="AE54" i="2"/>
  <c r="AE60" i="2" s="1"/>
  <c r="AC54" i="2"/>
  <c r="AC58" i="2" s="1"/>
  <c r="AG58" i="2" s="1"/>
  <c r="AD53" i="2"/>
  <c r="AG52" i="2"/>
  <c r="AF52" i="2"/>
  <c r="AG50" i="2"/>
  <c r="AF50" i="2"/>
  <c r="AG48" i="2"/>
  <c r="AF48" i="2"/>
  <c r="AE47" i="2"/>
  <c r="AE53" i="2" s="1"/>
  <c r="AC47" i="2"/>
  <c r="AC51" i="2" s="1"/>
  <c r="AB51" i="2" s="1"/>
  <c r="AD46" i="2"/>
  <c r="AG45" i="2"/>
  <c r="AF45" i="2"/>
  <c r="AG43" i="2"/>
  <c r="AF43" i="2"/>
  <c r="AG41" i="2"/>
  <c r="AF41" i="2"/>
  <c r="AE40" i="2"/>
  <c r="AE46" i="2" s="1"/>
  <c r="AC40" i="2"/>
  <c r="AD48" i="2" s="1"/>
  <c r="AD39" i="2"/>
  <c r="AG38" i="2"/>
  <c r="AF38" i="2"/>
  <c r="AG36" i="2"/>
  <c r="AF36" i="2"/>
  <c r="AG34" i="2"/>
  <c r="AF34" i="2"/>
  <c r="AE33" i="2"/>
  <c r="AE39" i="2" s="1"/>
  <c r="AC33" i="2"/>
  <c r="AD41" i="2" s="1"/>
  <c r="AD32" i="2"/>
  <c r="AG31" i="2"/>
  <c r="AF31" i="2"/>
  <c r="AG29" i="2"/>
  <c r="AF29" i="2"/>
  <c r="AG27" i="2"/>
  <c r="AF27" i="2"/>
  <c r="AE26" i="2"/>
  <c r="AE32" i="2" s="1"/>
  <c r="AC26" i="2"/>
  <c r="AC30" i="2" s="1"/>
  <c r="AG30" i="2" s="1"/>
  <c r="AB26" i="2"/>
  <c r="AD25" i="2"/>
  <c r="AG24" i="2"/>
  <c r="AF24" i="2"/>
  <c r="AG22" i="2"/>
  <c r="AF22" i="2"/>
  <c r="AG20" i="2"/>
  <c r="AF20" i="2"/>
  <c r="AE19" i="2"/>
  <c r="AE25" i="2" s="1"/>
  <c r="AC19" i="2"/>
  <c r="AF19" i="2" s="1"/>
  <c r="AD18" i="2"/>
  <c r="AG17" i="2"/>
  <c r="AF17" i="2"/>
  <c r="AG15" i="2"/>
  <c r="AF15" i="2"/>
  <c r="AG13" i="2"/>
  <c r="AF13" i="2"/>
  <c r="AG12" i="2"/>
  <c r="AE12" i="2"/>
  <c r="AE18" i="2" s="1"/>
  <c r="AC12" i="2"/>
  <c r="AD20" i="2" s="1"/>
  <c r="AD11" i="2"/>
  <c r="AG10" i="2"/>
  <c r="AF10" i="2"/>
  <c r="AG8" i="2"/>
  <c r="AF8" i="2"/>
  <c r="AG6" i="2"/>
  <c r="AC6" i="2"/>
  <c r="AF6" i="2" s="1"/>
  <c r="AE5" i="2"/>
  <c r="AE11" i="2" s="1"/>
  <c r="AD5" i="2"/>
  <c r="AC5" i="2"/>
  <c r="V68" i="2"/>
  <c r="V74" i="2" s="1"/>
  <c r="V61" i="2"/>
  <c r="V67" i="2" s="1"/>
  <c r="V54" i="2"/>
  <c r="V47" i="2"/>
  <c r="V40" i="2"/>
  <c r="V33" i="2"/>
  <c r="V39" i="2" s="1"/>
  <c r="V26" i="2"/>
  <c r="V32" i="2" s="1"/>
  <c r="V19" i="2"/>
  <c r="V25" i="2" s="1"/>
  <c r="V12" i="2"/>
  <c r="V18" i="2" s="1"/>
  <c r="T68" i="2"/>
  <c r="X68" i="2" s="1"/>
  <c r="T61" i="2"/>
  <c r="X61" i="2" s="1"/>
  <c r="T54" i="2"/>
  <c r="X54" i="2" s="1"/>
  <c r="T47" i="2"/>
  <c r="X47" i="2" s="1"/>
  <c r="T40" i="2"/>
  <c r="X40" i="2" s="1"/>
  <c r="T33" i="2"/>
  <c r="X33" i="2" s="1"/>
  <c r="T26" i="2"/>
  <c r="X26" i="2" s="1"/>
  <c r="T19" i="2"/>
  <c r="X19" i="2" s="1"/>
  <c r="U74" i="2"/>
  <c r="X73" i="2"/>
  <c r="W73" i="2"/>
  <c r="X71" i="2"/>
  <c r="W71" i="2"/>
  <c r="X69" i="2"/>
  <c r="W69" i="2"/>
  <c r="U67" i="2"/>
  <c r="X66" i="2"/>
  <c r="W66" i="2"/>
  <c r="X64" i="2"/>
  <c r="W64" i="2"/>
  <c r="X62" i="2"/>
  <c r="W62" i="2"/>
  <c r="U60" i="2"/>
  <c r="X59" i="2"/>
  <c r="W59" i="2"/>
  <c r="X57" i="2"/>
  <c r="W57" i="2"/>
  <c r="X55" i="2"/>
  <c r="W55" i="2"/>
  <c r="V60" i="2"/>
  <c r="U53" i="2"/>
  <c r="X52" i="2"/>
  <c r="W52" i="2"/>
  <c r="X50" i="2"/>
  <c r="W50" i="2"/>
  <c r="X48" i="2"/>
  <c r="W48" i="2"/>
  <c r="V53" i="2"/>
  <c r="V46" i="2"/>
  <c r="U46" i="2"/>
  <c r="X45" i="2"/>
  <c r="W45" i="2"/>
  <c r="X43" i="2"/>
  <c r="W43" i="2"/>
  <c r="X41" i="2"/>
  <c r="W41" i="2"/>
  <c r="U48" i="2"/>
  <c r="U39" i="2"/>
  <c r="X38" i="2"/>
  <c r="W38" i="2"/>
  <c r="X36" i="2"/>
  <c r="W36" i="2"/>
  <c r="X34" i="2"/>
  <c r="W34" i="2"/>
  <c r="U32" i="2"/>
  <c r="X31" i="2"/>
  <c r="W31" i="2"/>
  <c r="X29" i="2"/>
  <c r="W29" i="2"/>
  <c r="X27" i="2"/>
  <c r="W27" i="2"/>
  <c r="U25" i="2"/>
  <c r="X24" i="2"/>
  <c r="W24" i="2"/>
  <c r="X22" i="2"/>
  <c r="W22" i="2"/>
  <c r="X20" i="2"/>
  <c r="W20" i="2"/>
  <c r="U18" i="2"/>
  <c r="X17" i="2"/>
  <c r="W17" i="2"/>
  <c r="X15" i="2"/>
  <c r="W15" i="2"/>
  <c r="X13" i="2"/>
  <c r="W13" i="2"/>
  <c r="T12" i="2"/>
  <c r="U20" i="2" s="1"/>
  <c r="U11" i="2"/>
  <c r="X10" i="2"/>
  <c r="W10" i="2"/>
  <c r="X8" i="2"/>
  <c r="W8" i="2"/>
  <c r="T6" i="2"/>
  <c r="W6" i="2" s="1"/>
  <c r="V5" i="2"/>
  <c r="U5" i="2"/>
  <c r="T5" i="2"/>
  <c r="S5" i="2"/>
  <c r="O73" i="2"/>
  <c r="N73" i="2"/>
  <c r="O71" i="2"/>
  <c r="N71" i="2"/>
  <c r="O69" i="2"/>
  <c r="N69" i="2"/>
  <c r="O66" i="2"/>
  <c r="N66" i="2"/>
  <c r="O64" i="2"/>
  <c r="N64" i="2"/>
  <c r="O62" i="2"/>
  <c r="N62" i="2"/>
  <c r="O59" i="2"/>
  <c r="N59" i="2"/>
  <c r="O57" i="2"/>
  <c r="N57" i="2"/>
  <c r="O55" i="2"/>
  <c r="N55" i="2"/>
  <c r="L62" i="2"/>
  <c r="O52" i="2"/>
  <c r="N52" i="2"/>
  <c r="O50" i="2"/>
  <c r="N50" i="2"/>
  <c r="O48" i="2"/>
  <c r="N48" i="2"/>
  <c r="O45" i="2"/>
  <c r="N45" i="2"/>
  <c r="O43" i="2"/>
  <c r="N43" i="2"/>
  <c r="O41" i="2"/>
  <c r="N41" i="2"/>
  <c r="O38" i="2"/>
  <c r="N38" i="2"/>
  <c r="O36" i="2"/>
  <c r="N36" i="2"/>
  <c r="O34" i="2"/>
  <c r="N34" i="2"/>
  <c r="O31" i="2"/>
  <c r="N31" i="2"/>
  <c r="O29" i="2"/>
  <c r="N29" i="2"/>
  <c r="O27" i="2"/>
  <c r="N27" i="2"/>
  <c r="L34" i="2"/>
  <c r="O24" i="2"/>
  <c r="N24" i="2"/>
  <c r="O22" i="2"/>
  <c r="N22" i="2"/>
  <c r="O20" i="2"/>
  <c r="N20" i="2"/>
  <c r="O17" i="2"/>
  <c r="N17" i="2"/>
  <c r="O15" i="2"/>
  <c r="N15" i="2"/>
  <c r="O13" i="2"/>
  <c r="N13" i="2"/>
  <c r="M12" i="2"/>
  <c r="M18" i="2" s="1"/>
  <c r="O10" i="2"/>
  <c r="N10" i="2"/>
  <c r="O8" i="2"/>
  <c r="N8" i="2"/>
  <c r="O6" i="2"/>
  <c r="N6" i="2"/>
  <c r="M5" i="2"/>
  <c r="M11" i="2" s="1"/>
  <c r="J9" i="2" l="1"/>
  <c r="T53" i="2"/>
  <c r="S53" i="2" s="1"/>
  <c r="AD13" i="2"/>
  <c r="J5" i="2"/>
  <c r="U13" i="2"/>
  <c r="AB12" i="2"/>
  <c r="W68" i="2"/>
  <c r="AG33" i="2"/>
  <c r="AG40" i="2"/>
  <c r="AC42" i="2"/>
  <c r="AB33" i="2"/>
  <c r="AB40" i="2"/>
  <c r="AB61" i="2"/>
  <c r="AB30" i="2"/>
  <c r="AB58" i="2"/>
  <c r="AG54" i="2"/>
  <c r="O12" i="2"/>
  <c r="AG26" i="2"/>
  <c r="AB54" i="2"/>
  <c r="AG61" i="2"/>
  <c r="AG68" i="2"/>
  <c r="S33" i="2"/>
  <c r="N5" i="2"/>
  <c r="N40" i="2"/>
  <c r="S61" i="2"/>
  <c r="W5" i="2"/>
  <c r="AC70" i="2"/>
  <c r="T74" i="2"/>
  <c r="S74" i="2" s="1"/>
  <c r="N26" i="2"/>
  <c r="N61" i="2"/>
  <c r="T67" i="2"/>
  <c r="S67" i="2" s="1"/>
  <c r="AC23" i="2"/>
  <c r="AB23" i="2" s="1"/>
  <c r="AC49" i="2"/>
  <c r="AE49" i="2" s="1"/>
  <c r="AE51" i="2" s="1"/>
  <c r="K28" i="2"/>
  <c r="J28" i="2" s="1"/>
  <c r="AC11" i="2"/>
  <c r="AG11" i="2" s="1"/>
  <c r="O32" i="2"/>
  <c r="N32" i="2"/>
  <c r="O67" i="2"/>
  <c r="N67" i="2"/>
  <c r="K11" i="2"/>
  <c r="N11" i="2" s="1"/>
  <c r="K53" i="2"/>
  <c r="J53" i="2" s="1"/>
  <c r="J26" i="2"/>
  <c r="O26" i="2"/>
  <c r="J40" i="2"/>
  <c r="O40" i="2"/>
  <c r="J61" i="2"/>
  <c r="O61" i="2"/>
  <c r="AC18" i="2"/>
  <c r="AB18" i="2" s="1"/>
  <c r="K25" i="2"/>
  <c r="J25" i="2" s="1"/>
  <c r="K60" i="2"/>
  <c r="N19" i="2"/>
  <c r="N33" i="2"/>
  <c r="N47" i="2"/>
  <c r="N54" i="2"/>
  <c r="N68" i="2"/>
  <c r="N39" i="2"/>
  <c r="N46" i="2"/>
  <c r="N74" i="2"/>
  <c r="M7" i="2"/>
  <c r="M9" i="2" s="1"/>
  <c r="N9" i="2" s="1"/>
  <c r="AC14" i="2"/>
  <c r="AB14" i="2" s="1"/>
  <c r="J19" i="2"/>
  <c r="O19" i="2"/>
  <c r="J33" i="2"/>
  <c r="O33" i="2"/>
  <c r="J47" i="2"/>
  <c r="O47" i="2"/>
  <c r="J54" i="2"/>
  <c r="O54" i="2"/>
  <c r="J68" i="2"/>
  <c r="O68" i="2"/>
  <c r="O39" i="2"/>
  <c r="O46" i="2"/>
  <c r="O74" i="2"/>
  <c r="T18" i="2"/>
  <c r="S18" i="2" s="1"/>
  <c r="K56" i="2"/>
  <c r="AF33" i="2"/>
  <c r="AF61" i="2"/>
  <c r="AF47" i="2"/>
  <c r="X12" i="2"/>
  <c r="T11" i="2"/>
  <c r="AB5" i="2"/>
  <c r="AF5" i="2"/>
  <c r="AF12" i="2"/>
  <c r="AE14" i="2"/>
  <c r="AB19" i="2"/>
  <c r="AG19" i="2"/>
  <c r="AD34" i="2"/>
  <c r="AF40" i="2"/>
  <c r="AE42" i="2"/>
  <c r="AB47" i="2"/>
  <c r="AG47" i="2"/>
  <c r="AF49" i="2"/>
  <c r="AF51" i="2"/>
  <c r="AD62" i="2"/>
  <c r="AF68" i="2"/>
  <c r="AE70" i="2"/>
  <c r="AF70" i="2" s="1"/>
  <c r="AG5" i="2"/>
  <c r="AH5" i="2" s="1"/>
  <c r="AH6" i="2" s="1"/>
  <c r="AG23" i="2"/>
  <c r="AD27" i="2"/>
  <c r="AF42" i="2"/>
  <c r="AG49" i="2"/>
  <c r="AG51" i="2"/>
  <c r="AD55" i="2"/>
  <c r="AF74" i="2"/>
  <c r="S12" i="2"/>
  <c r="S19" i="2"/>
  <c r="S26" i="2"/>
  <c r="S40" i="2"/>
  <c r="S47" i="2"/>
  <c r="S54" i="2"/>
  <c r="S68" i="2"/>
  <c r="T7" i="2"/>
  <c r="AC7" i="2"/>
  <c r="AF11" i="2"/>
  <c r="AG14" i="2"/>
  <c r="AG18" i="2"/>
  <c r="AF26" i="2"/>
  <c r="AG42" i="2"/>
  <c r="AB49" i="2"/>
  <c r="AF54" i="2"/>
  <c r="AG70" i="2"/>
  <c r="AG74" i="2"/>
  <c r="K35" i="2"/>
  <c r="M35" i="2" s="1"/>
  <c r="N35" i="2" s="1"/>
  <c r="W12" i="2"/>
  <c r="T9" i="2"/>
  <c r="AC9" i="2"/>
  <c r="AB11" i="2"/>
  <c r="AB42" i="2"/>
  <c r="AB70" i="2"/>
  <c r="AC21" i="2"/>
  <c r="AC60" i="2"/>
  <c r="AC25" i="2"/>
  <c r="AC35" i="2"/>
  <c r="AC44" i="2"/>
  <c r="AC53" i="2"/>
  <c r="AC63" i="2"/>
  <c r="AC72" i="2"/>
  <c r="AC32" i="2"/>
  <c r="AC28" i="2"/>
  <c r="AC37" i="2"/>
  <c r="AC46" i="2"/>
  <c r="AC56" i="2"/>
  <c r="AE56" i="2" s="1"/>
  <c r="AE58" i="2" s="1"/>
  <c r="AF58" i="2" s="1"/>
  <c r="AC65" i="2"/>
  <c r="AC39" i="2"/>
  <c r="AC67" i="2"/>
  <c r="AC16" i="2"/>
  <c r="U69" i="2"/>
  <c r="T60" i="2"/>
  <c r="S60" i="2" s="1"/>
  <c r="W47" i="2"/>
  <c r="W53" i="2"/>
  <c r="T46" i="2"/>
  <c r="S46" i="2" s="1"/>
  <c r="W40" i="2"/>
  <c r="U41" i="2"/>
  <c r="T39" i="2"/>
  <c r="S39" i="2" s="1"/>
  <c r="T32" i="2"/>
  <c r="S32" i="2" s="1"/>
  <c r="W19" i="2"/>
  <c r="T25" i="2"/>
  <c r="S25" i="2" s="1"/>
  <c r="U34" i="2"/>
  <c r="U62" i="2"/>
  <c r="V11" i="2"/>
  <c r="W18" i="2"/>
  <c r="U27" i="2"/>
  <c r="W33" i="2"/>
  <c r="X53" i="2"/>
  <c r="U55" i="2"/>
  <c r="W61" i="2"/>
  <c r="W74" i="2"/>
  <c r="X5" i="2"/>
  <c r="Y5" i="2" s="1"/>
  <c r="Y6" i="2" s="1"/>
  <c r="X6" i="2"/>
  <c r="V7" i="2"/>
  <c r="V9" i="2" s="1"/>
  <c r="W9" i="2" s="1"/>
  <c r="X18" i="2"/>
  <c r="W26" i="2"/>
  <c r="W54" i="2"/>
  <c r="W67" i="2"/>
  <c r="X74" i="2"/>
  <c r="X39" i="2"/>
  <c r="W60" i="2"/>
  <c r="X67" i="2"/>
  <c r="M28" i="2"/>
  <c r="N28" i="2" s="1"/>
  <c r="O70" i="2"/>
  <c r="K18" i="2"/>
  <c r="O5" i="2"/>
  <c r="L13" i="2"/>
  <c r="L41" i="2"/>
  <c r="L69" i="2"/>
  <c r="J70" i="2"/>
  <c r="K16" i="2"/>
  <c r="J16" i="2" s="1"/>
  <c r="N12" i="2"/>
  <c r="L20" i="2"/>
  <c r="O28" i="2"/>
  <c r="L48" i="2"/>
  <c r="O56" i="2"/>
  <c r="M70" i="2"/>
  <c r="T63" i="2"/>
  <c r="S63" i="2" s="1"/>
  <c r="K14" i="2"/>
  <c r="J14" i="2" s="1"/>
  <c r="T49" i="2"/>
  <c r="S49" i="2" s="1"/>
  <c r="T35" i="2"/>
  <c r="S35" i="2" s="1"/>
  <c r="T42" i="2"/>
  <c r="S42" i="2" s="1"/>
  <c r="T21" i="2"/>
  <c r="S21" i="2" s="1"/>
  <c r="T56" i="2"/>
  <c r="S56" i="2" s="1"/>
  <c r="T70" i="2"/>
  <c r="S70" i="2" s="1"/>
  <c r="T28" i="2"/>
  <c r="T72" i="2"/>
  <c r="S72" i="2" s="1"/>
  <c r="T65" i="2"/>
  <c r="S65" i="2" s="1"/>
  <c r="T58" i="2"/>
  <c r="S58" i="2" s="1"/>
  <c r="T51" i="2"/>
  <c r="S51" i="2" s="1"/>
  <c r="T44" i="2"/>
  <c r="S44" i="2" s="1"/>
  <c r="T37" i="2"/>
  <c r="S37" i="2" s="1"/>
  <c r="T30" i="2"/>
  <c r="S30" i="2" s="1"/>
  <c r="T23" i="2"/>
  <c r="S23" i="2" s="1"/>
  <c r="T14" i="2"/>
  <c r="S14" i="2" s="1"/>
  <c r="T16" i="2"/>
  <c r="S16" i="2" s="1"/>
  <c r="K63" i="2"/>
  <c r="K49" i="2"/>
  <c r="M49" i="2" s="1"/>
  <c r="K42" i="2"/>
  <c r="K21" i="2"/>
  <c r="M21" i="2" s="1"/>
  <c r="K72" i="2"/>
  <c r="J74" i="2"/>
  <c r="K65" i="2"/>
  <c r="J67" i="2"/>
  <c r="K58" i="2"/>
  <c r="K51" i="2"/>
  <c r="K44" i="2"/>
  <c r="J46" i="2"/>
  <c r="K37" i="2"/>
  <c r="J39" i="2"/>
  <c r="K30" i="2"/>
  <c r="J32" i="2"/>
  <c r="K23" i="2"/>
  <c r="P5" i="2" l="1"/>
  <c r="P6" i="2" s="1"/>
  <c r="W11" i="2"/>
  <c r="AF18" i="2"/>
  <c r="N7" i="2"/>
  <c r="W46" i="2"/>
  <c r="X46" i="2"/>
  <c r="O18" i="2"/>
  <c r="N18" i="2"/>
  <c r="J18" i="2"/>
  <c r="J60" i="2"/>
  <c r="O60" i="2"/>
  <c r="N60" i="2"/>
  <c r="O25" i="2"/>
  <c r="N25" i="2"/>
  <c r="O53" i="2"/>
  <c r="N53" i="2"/>
  <c r="J58" i="2"/>
  <c r="J56" i="2"/>
  <c r="M56" i="2"/>
  <c r="N56" i="2" s="1"/>
  <c r="J11" i="2"/>
  <c r="O11" i="2"/>
  <c r="AB67" i="2"/>
  <c r="AG67" i="2"/>
  <c r="AF67" i="2"/>
  <c r="AB46" i="2"/>
  <c r="AG46" i="2"/>
  <c r="AF46" i="2"/>
  <c r="AB72" i="2"/>
  <c r="AG72" i="2"/>
  <c r="AG35" i="2"/>
  <c r="AE35" i="2"/>
  <c r="AE37" i="2" s="1"/>
  <c r="AF37" i="2" s="1"/>
  <c r="AB35" i="2"/>
  <c r="AB9" i="2"/>
  <c r="AG9" i="2"/>
  <c r="AB39" i="2"/>
  <c r="AG39" i="2"/>
  <c r="AF39" i="2"/>
  <c r="AG37" i="2"/>
  <c r="AB37" i="2"/>
  <c r="AG63" i="2"/>
  <c r="AE63" i="2"/>
  <c r="AE65" i="2" s="1"/>
  <c r="AF65" i="2" s="1"/>
  <c r="AB63" i="2"/>
  <c r="AB25" i="2"/>
  <c r="AG25" i="2"/>
  <c r="AF25" i="2"/>
  <c r="X9" i="2"/>
  <c r="S9" i="2"/>
  <c r="AF14" i="2"/>
  <c r="AE16" i="2"/>
  <c r="V28" i="2"/>
  <c r="V30" i="2" s="1"/>
  <c r="S28" i="2"/>
  <c r="AG65" i="2"/>
  <c r="AB65" i="2"/>
  <c r="AB28" i="2"/>
  <c r="AG28" i="2"/>
  <c r="AB53" i="2"/>
  <c r="AG53" i="2"/>
  <c r="AF53" i="2"/>
  <c r="AB60" i="2"/>
  <c r="AF60" i="2"/>
  <c r="AG60" i="2"/>
  <c r="AB7" i="2"/>
  <c r="AG7" i="2"/>
  <c r="AE72" i="2"/>
  <c r="AF72" i="2" s="1"/>
  <c r="AE44" i="2"/>
  <c r="AF44" i="2" s="1"/>
  <c r="S11" i="2"/>
  <c r="X11" i="2"/>
  <c r="AE7" i="2"/>
  <c r="AE9" i="2" s="1"/>
  <c r="AF9" i="2" s="1"/>
  <c r="AB16" i="2"/>
  <c r="AG16" i="2"/>
  <c r="AF16" i="2"/>
  <c r="AF56" i="2"/>
  <c r="AB56" i="2"/>
  <c r="AG56" i="2"/>
  <c r="AB32" i="2"/>
  <c r="AF32" i="2"/>
  <c r="AG32" i="2"/>
  <c r="AB44" i="2"/>
  <c r="AG44" i="2"/>
  <c r="AE21" i="2"/>
  <c r="AE23" i="2" s="1"/>
  <c r="AF23" i="2" s="1"/>
  <c r="AB21" i="2"/>
  <c r="AG21" i="2"/>
  <c r="O35" i="2"/>
  <c r="J35" i="2"/>
  <c r="AE28" i="2"/>
  <c r="AE30" i="2" s="1"/>
  <c r="AF30" i="2" s="1"/>
  <c r="S7" i="2"/>
  <c r="X7" i="2"/>
  <c r="X60" i="2"/>
  <c r="W39" i="2"/>
  <c r="W32" i="2"/>
  <c r="X32" i="2"/>
  <c r="W25" i="2"/>
  <c r="X25" i="2"/>
  <c r="W30" i="2"/>
  <c r="X30" i="2"/>
  <c r="X58" i="2"/>
  <c r="V70" i="2"/>
  <c r="V72" i="2" s="1"/>
  <c r="W72" i="2" s="1"/>
  <c r="X70" i="2"/>
  <c r="X35" i="2"/>
  <c r="V49" i="2"/>
  <c r="V51" i="2" s="1"/>
  <c r="W51" i="2" s="1"/>
  <c r="V35" i="2"/>
  <c r="V37" i="2" s="1"/>
  <c r="W37" i="2" s="1"/>
  <c r="X23" i="2"/>
  <c r="W28" i="2"/>
  <c r="X28" i="2"/>
  <c r="X42" i="2"/>
  <c r="V42" i="2"/>
  <c r="V44" i="2" s="1"/>
  <c r="W44" i="2" s="1"/>
  <c r="X63" i="2"/>
  <c r="X16" i="2"/>
  <c r="V63" i="2"/>
  <c r="V65" i="2" s="1"/>
  <c r="W65" i="2" s="1"/>
  <c r="X51" i="2"/>
  <c r="X37" i="2"/>
  <c r="X65" i="2"/>
  <c r="X56" i="2"/>
  <c r="X49" i="2"/>
  <c r="X14" i="2"/>
  <c r="V14" i="2"/>
  <c r="V16" i="2" s="1"/>
  <c r="W16" i="2" s="1"/>
  <c r="X44" i="2"/>
  <c r="X72" i="2"/>
  <c r="X21" i="2"/>
  <c r="V21" i="2"/>
  <c r="V23" i="2" s="1"/>
  <c r="W23" i="2" s="1"/>
  <c r="V56" i="2"/>
  <c r="V58" i="2" s="1"/>
  <c r="W58" i="2" s="1"/>
  <c r="W7" i="2"/>
  <c r="J23" i="2"/>
  <c r="O23" i="2"/>
  <c r="J72" i="2"/>
  <c r="O72" i="2"/>
  <c r="M72" i="2"/>
  <c r="N72" i="2" s="1"/>
  <c r="M51" i="2"/>
  <c r="N51" i="2" s="1"/>
  <c r="J44" i="2"/>
  <c r="O44" i="2"/>
  <c r="N21" i="2"/>
  <c r="J21" i="2"/>
  <c r="O21" i="2"/>
  <c r="N70" i="2"/>
  <c r="J51" i="2"/>
  <c r="O51" i="2"/>
  <c r="O63" i="2"/>
  <c r="J63" i="2"/>
  <c r="M23" i="2"/>
  <c r="N23" i="2" s="1"/>
  <c r="M42" i="2"/>
  <c r="M44" i="2" s="1"/>
  <c r="N44" i="2" s="1"/>
  <c r="J42" i="2"/>
  <c r="O42" i="2"/>
  <c r="M14" i="2"/>
  <c r="M16" i="2" s="1"/>
  <c r="N16" i="2" s="1"/>
  <c r="O14" i="2"/>
  <c r="M30" i="2"/>
  <c r="N30" i="2" s="1"/>
  <c r="M63" i="2"/>
  <c r="M65" i="2" s="1"/>
  <c r="N65" i="2" s="1"/>
  <c r="O65" i="2"/>
  <c r="J65" i="2"/>
  <c r="O37" i="2"/>
  <c r="J37" i="2"/>
  <c r="J30" i="2"/>
  <c r="O30" i="2"/>
  <c r="O58" i="2"/>
  <c r="J49" i="2"/>
  <c r="N49" i="2"/>
  <c r="O49" i="2"/>
  <c r="O16" i="2"/>
  <c r="M37" i="2"/>
  <c r="N37" i="2" s="1"/>
  <c r="P7" i="2" l="1"/>
  <c r="P8" i="2" s="1"/>
  <c r="P9" i="2" s="1"/>
  <c r="P10" i="2" s="1"/>
  <c r="P11" i="2" s="1"/>
  <c r="P12" i="2" s="1"/>
  <c r="P13" i="2" s="1"/>
  <c r="Y7" i="2"/>
  <c r="Y8" i="2" s="1"/>
  <c r="Y9" i="2" s="1"/>
  <c r="Y10" i="2" s="1"/>
  <c r="Y11" i="2" s="1"/>
  <c r="Y12" i="2" s="1"/>
  <c r="Y13" i="2" s="1"/>
  <c r="M58" i="2"/>
  <c r="N58" i="2" s="1"/>
  <c r="AF21" i="2"/>
  <c r="AF7" i="2"/>
  <c r="AH7" i="2" s="1"/>
  <c r="AH8" i="2" s="1"/>
  <c r="AH9" i="2" s="1"/>
  <c r="AH10" i="2" s="1"/>
  <c r="AH11" i="2" s="1"/>
  <c r="AH12" i="2" s="1"/>
  <c r="AH13" i="2" s="1"/>
  <c r="AH14" i="2" s="1"/>
  <c r="AH15" i="2" s="1"/>
  <c r="AH16" i="2" s="1"/>
  <c r="AH17" i="2" s="1"/>
  <c r="AH18" i="2" s="1"/>
  <c r="AH19" i="2" s="1"/>
  <c r="AH20" i="2" s="1"/>
  <c r="AH21" i="2" s="1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H34" i="2" s="1"/>
  <c r="AH35" i="2" s="1"/>
  <c r="AH36" i="2" s="1"/>
  <c r="AH37" i="2" s="1"/>
  <c r="AH38" i="2" s="1"/>
  <c r="AH39" i="2" s="1"/>
  <c r="AH40" i="2" s="1"/>
  <c r="AH41" i="2" s="1"/>
  <c r="AH42" i="2" s="1"/>
  <c r="AH43" i="2" s="1"/>
  <c r="AH44" i="2" s="1"/>
  <c r="AH45" i="2" s="1"/>
  <c r="AH46" i="2" s="1"/>
  <c r="AH47" i="2" s="1"/>
  <c r="AH48" i="2" s="1"/>
  <c r="AH49" i="2" s="1"/>
  <c r="AH50" i="2" s="1"/>
  <c r="AH51" i="2" s="1"/>
  <c r="AH52" i="2" s="1"/>
  <c r="AH53" i="2" s="1"/>
  <c r="AH54" i="2" s="1"/>
  <c r="AH55" i="2" s="1"/>
  <c r="AH56" i="2" s="1"/>
  <c r="AH57" i="2" s="1"/>
  <c r="AH58" i="2" s="1"/>
  <c r="AH59" i="2" s="1"/>
  <c r="AH60" i="2" s="1"/>
  <c r="AH61" i="2" s="1"/>
  <c r="AH62" i="2" s="1"/>
  <c r="AH63" i="2" s="1"/>
  <c r="AH64" i="2" s="1"/>
  <c r="AH65" i="2" s="1"/>
  <c r="AH66" i="2" s="1"/>
  <c r="AH67" i="2" s="1"/>
  <c r="AH68" i="2" s="1"/>
  <c r="AH69" i="2" s="1"/>
  <c r="AH70" i="2" s="1"/>
  <c r="AH71" i="2" s="1"/>
  <c r="AH72" i="2" s="1"/>
  <c r="AH73" i="2" s="1"/>
  <c r="AH74" i="2" s="1"/>
  <c r="AF63" i="2"/>
  <c r="AF28" i="2"/>
  <c r="AF35" i="2"/>
  <c r="W35" i="2"/>
  <c r="W70" i="2"/>
  <c r="W49" i="2"/>
  <c r="W21" i="2"/>
  <c r="W63" i="2"/>
  <c r="W42" i="2"/>
  <c r="W56" i="2"/>
  <c r="W14" i="2"/>
  <c r="N14" i="2"/>
  <c r="N42" i="2"/>
  <c r="N63" i="2"/>
  <c r="Y14" i="2" l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Y45" i="2" s="1"/>
  <c r="Y46" i="2" s="1"/>
  <c r="Y47" i="2" s="1"/>
  <c r="Y48" i="2" s="1"/>
  <c r="Y49" i="2" s="1"/>
  <c r="Y50" i="2" s="1"/>
  <c r="Y51" i="2" s="1"/>
  <c r="Y52" i="2" s="1"/>
  <c r="Y53" i="2" s="1"/>
  <c r="Y54" i="2" s="1"/>
  <c r="Y55" i="2" s="1"/>
  <c r="Y56" i="2" s="1"/>
  <c r="Y57" i="2" s="1"/>
  <c r="Y58" i="2" s="1"/>
  <c r="Y59" i="2" s="1"/>
  <c r="Y60" i="2" s="1"/>
  <c r="Y61" i="2" s="1"/>
  <c r="Y62" i="2" s="1"/>
  <c r="Y63" i="2" s="1"/>
  <c r="Y64" i="2" s="1"/>
  <c r="Y65" i="2" s="1"/>
  <c r="Y66" i="2" s="1"/>
  <c r="Y67" i="2" s="1"/>
  <c r="Y68" i="2" s="1"/>
  <c r="Y69" i="2" s="1"/>
  <c r="Y70" i="2" s="1"/>
  <c r="Y71" i="2" s="1"/>
  <c r="Y72" i="2" s="1"/>
  <c r="Y73" i="2" s="1"/>
  <c r="Y74" i="2" s="1"/>
  <c r="P14" i="2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B54" i="2"/>
  <c r="A54" i="2"/>
  <c r="E27" i="2" l="1"/>
  <c r="P56" i="2"/>
  <c r="P57" i="2" s="1"/>
  <c r="P58" i="2" s="1"/>
  <c r="P59" i="2" s="1"/>
  <c r="P60" i="2" s="1"/>
  <c r="P61" i="2" s="1"/>
  <c r="P62" i="2" s="1"/>
  <c r="P63" i="2" s="1"/>
  <c r="P64" i="2" s="1"/>
  <c r="P65" i="2" s="1"/>
  <c r="P66" i="2" s="1"/>
  <c r="P67" i="2" s="1"/>
  <c r="P68" i="2" s="1"/>
  <c r="P69" i="2" s="1"/>
  <c r="P70" i="2" s="1"/>
  <c r="P71" i="2" s="1"/>
  <c r="P72" i="2" s="1"/>
  <c r="P73" i="2" s="1"/>
  <c r="P74" i="2" s="1"/>
  <c r="E55" i="2"/>
  <c r="B68" i="2"/>
  <c r="B61" i="2"/>
  <c r="C60" i="2"/>
  <c r="B47" i="2"/>
  <c r="B40" i="2"/>
  <c r="B33" i="2"/>
  <c r="B26" i="2"/>
  <c r="B19" i="2"/>
  <c r="B12" i="2"/>
  <c r="A68" i="2"/>
  <c r="A61" i="2"/>
  <c r="A47" i="2"/>
  <c r="A40" i="2"/>
  <c r="A33" i="2"/>
  <c r="A26" i="2"/>
  <c r="A19" i="2"/>
  <c r="A12" i="2"/>
  <c r="B5" i="2"/>
  <c r="A5" i="2"/>
  <c r="D5" i="2" s="1"/>
  <c r="C18" i="2" l="1"/>
  <c r="E18" i="2"/>
  <c r="E74" i="2"/>
  <c r="E60" i="2"/>
  <c r="E25" i="2"/>
  <c r="E32" i="2"/>
  <c r="E46" i="2"/>
  <c r="E67" i="2"/>
  <c r="E39" i="2"/>
  <c r="E11" i="2"/>
  <c r="E53" i="2"/>
  <c r="C53" i="2"/>
  <c r="C25" i="2"/>
  <c r="C67" i="2"/>
  <c r="C32" i="2"/>
  <c r="C39" i="2"/>
  <c r="C74" i="2"/>
  <c r="C11" i="2"/>
  <c r="C46" i="2"/>
  <c r="E54" i="2" l="1"/>
  <c r="E68" i="2"/>
  <c r="E56" i="2"/>
  <c r="E40" i="2" l="1"/>
  <c r="E61" i="2"/>
  <c r="E5" i="2"/>
  <c r="F5" i="2" s="1"/>
  <c r="E12" i="2"/>
  <c r="R5" i="2"/>
  <c r="Q6" i="2" s="1"/>
  <c r="E47" i="2"/>
  <c r="E19" i="2"/>
  <c r="E26" i="2"/>
  <c r="E33" i="2"/>
  <c r="E20" i="2"/>
  <c r="E34" i="2"/>
  <c r="E13" i="2"/>
  <c r="E41" i="2"/>
  <c r="E69" i="2"/>
  <c r="E48" i="2"/>
  <c r="E62" i="2"/>
  <c r="E28" i="2"/>
  <c r="E57" i="2"/>
  <c r="AA5" i="2"/>
  <c r="Z6" i="2" s="1"/>
  <c r="AA6" i="2" s="1"/>
  <c r="Z7" i="2" s="1"/>
  <c r="AA7" i="2" s="1"/>
  <c r="Z8" i="2" s="1"/>
  <c r="I5" i="2"/>
  <c r="AA8" i="2" l="1"/>
  <c r="Z9" i="2" s="1"/>
  <c r="AA9" i="2" s="1"/>
  <c r="Z10" i="2" s="1"/>
  <c r="AA10" i="2" s="1"/>
  <c r="Z11" i="2" s="1"/>
  <c r="AA11" i="2" s="1"/>
  <c r="Z12" i="2" s="1"/>
  <c r="AA12" i="2" s="1"/>
  <c r="Z13" i="2" s="1"/>
  <c r="AA13" i="2" s="1"/>
  <c r="Z14" i="2" s="1"/>
  <c r="AA14" i="2" s="1"/>
  <c r="Z15" i="2" s="1"/>
  <c r="E6" i="2"/>
  <c r="R6" i="2"/>
  <c r="Q7" i="2" s="1"/>
  <c r="R7" i="2" s="1"/>
  <c r="Q8" i="2" s="1"/>
  <c r="E42" i="2"/>
  <c r="E49" i="2"/>
  <c r="E21" i="2"/>
  <c r="E63" i="2"/>
  <c r="E14" i="2"/>
  <c r="E35" i="2"/>
  <c r="E70" i="2"/>
  <c r="E15" i="2"/>
  <c r="E64" i="2"/>
  <c r="E43" i="2"/>
  <c r="E22" i="2"/>
  <c r="E29" i="2"/>
  <c r="E58" i="2"/>
  <c r="E59" i="2"/>
  <c r="E50" i="2"/>
  <c r="D6" i="2"/>
  <c r="H6" i="2"/>
  <c r="I6" i="2" s="1"/>
  <c r="E71" i="2" l="1"/>
  <c r="E36" i="2"/>
  <c r="E65" i="2"/>
  <c r="E66" i="2"/>
  <c r="E30" i="2"/>
  <c r="E31" i="2"/>
  <c r="E23" i="2"/>
  <c r="E24" i="2"/>
  <c r="E16" i="2"/>
  <c r="E17" i="2"/>
  <c r="AA15" i="2"/>
  <c r="Z16" i="2" s="1"/>
  <c r="R8" i="2"/>
  <c r="Q9" i="2" s="1"/>
  <c r="H7" i="2"/>
  <c r="F6" i="2"/>
  <c r="D7" i="2" s="1"/>
  <c r="AA16" i="2" l="1"/>
  <c r="Z17" i="2" s="1"/>
  <c r="R9" i="2"/>
  <c r="Q10" i="2" s="1"/>
  <c r="R10" i="2" s="1"/>
  <c r="Q11" i="2" s="1"/>
  <c r="R11" i="2" s="1"/>
  <c r="Q12" i="2" s="1"/>
  <c r="R12" i="2" s="1"/>
  <c r="Q13" i="2" s="1"/>
  <c r="R13" i="2" s="1"/>
  <c r="Q14" i="2" s="1"/>
  <c r="R14" i="2" s="1"/>
  <c r="Q15" i="2" s="1"/>
  <c r="R15" i="2" s="1"/>
  <c r="Q16" i="2" s="1"/>
  <c r="AA17" i="2" l="1"/>
  <c r="Z18" i="2" s="1"/>
  <c r="R16" i="2"/>
  <c r="Q17" i="2" s="1"/>
  <c r="AA18" i="2" l="1"/>
  <c r="R17" i="2"/>
  <c r="Q18" i="2" s="1"/>
  <c r="E7" i="2" l="1"/>
  <c r="F7" i="2" s="1"/>
  <c r="D8" i="2" s="1"/>
  <c r="Z19" i="2"/>
  <c r="AA19" i="2" s="1"/>
  <c r="Z20" i="2" s="1"/>
  <c r="AA20" i="2" s="1"/>
  <c r="Z21" i="2" s="1"/>
  <c r="R18" i="2"/>
  <c r="I7" i="2"/>
  <c r="H8" i="2" s="1"/>
  <c r="E8" i="2" l="1"/>
  <c r="F8" i="2" s="1"/>
  <c r="D9" i="2" s="1"/>
  <c r="AA21" i="2"/>
  <c r="Q19" i="2"/>
  <c r="R19" i="2" s="1"/>
  <c r="Q20" i="2" s="1"/>
  <c r="R20" i="2" s="1"/>
  <c r="Q21" i="2" s="1"/>
  <c r="I8" i="2"/>
  <c r="H9" i="2" s="1"/>
  <c r="E9" i="2" l="1"/>
  <c r="F9" i="2" s="1"/>
  <c r="D10" i="2" s="1"/>
  <c r="E10" i="2"/>
  <c r="I9" i="2"/>
  <c r="H10" i="2" s="1"/>
  <c r="Z22" i="2"/>
  <c r="AA22" i="2" s="1"/>
  <c r="Z23" i="2" s="1"/>
  <c r="AA23" i="2" s="1"/>
  <c r="Z24" i="2" s="1"/>
  <c r="R21" i="2"/>
  <c r="AA24" i="2" l="1"/>
  <c r="Z25" i="2" s="1"/>
  <c r="Q22" i="2"/>
  <c r="R22" i="2" s="1"/>
  <c r="Q23" i="2" s="1"/>
  <c r="R23" i="2" s="1"/>
  <c r="Q24" i="2" s="1"/>
  <c r="F10" i="2"/>
  <c r="D11" i="2" s="1"/>
  <c r="F11" i="2" s="1"/>
  <c r="G11" i="2" s="1"/>
  <c r="I10" i="2"/>
  <c r="H11" i="2" l="1"/>
  <c r="I11" i="2" s="1"/>
  <c r="H12" i="2" s="1"/>
  <c r="I12" i="2" s="1"/>
  <c r="H13" i="2" s="1"/>
  <c r="I13" i="2" s="1"/>
  <c r="H14" i="2" s="1"/>
  <c r="I14" i="2" s="1"/>
  <c r="H15" i="2" s="1"/>
  <c r="AA25" i="2"/>
  <c r="R24" i="2"/>
  <c r="Q25" i="2" s="1"/>
  <c r="D12" i="2"/>
  <c r="F12" i="2" s="1"/>
  <c r="D13" i="2" s="1"/>
  <c r="F13" i="2" s="1"/>
  <c r="D14" i="2" s="1"/>
  <c r="F14" i="2" s="1"/>
  <c r="D15" i="2" s="1"/>
  <c r="F15" i="2" s="1"/>
  <c r="D16" i="2" s="1"/>
  <c r="F16" i="2" s="1"/>
  <c r="D17" i="2" s="1"/>
  <c r="F17" i="2" s="1"/>
  <c r="D18" i="2" s="1"/>
  <c r="F18" i="2" s="1"/>
  <c r="G18" i="2" s="1"/>
  <c r="Z26" i="2" l="1"/>
  <c r="AA26" i="2" s="1"/>
  <c r="Z27" i="2" s="1"/>
  <c r="AA27" i="2" s="1"/>
  <c r="R25" i="2"/>
  <c r="I15" i="2"/>
  <c r="H16" i="2" s="1"/>
  <c r="D19" i="2"/>
  <c r="F19" i="2" s="1"/>
  <c r="D20" i="2" s="1"/>
  <c r="F20" i="2" s="1"/>
  <c r="D21" i="2" s="1"/>
  <c r="F21" i="2" s="1"/>
  <c r="D22" i="2" s="1"/>
  <c r="F22" i="2" s="1"/>
  <c r="D23" i="2" s="1"/>
  <c r="F23" i="2" s="1"/>
  <c r="D24" i="2" s="1"/>
  <c r="F24" i="2" s="1"/>
  <c r="D25" i="2" s="1"/>
  <c r="F25" i="2" s="1"/>
  <c r="D26" i="2" s="1"/>
  <c r="F26" i="2" s="1"/>
  <c r="D27" i="2" s="1"/>
  <c r="F27" i="2" s="1"/>
  <c r="D28" i="2" s="1"/>
  <c r="F28" i="2" s="1"/>
  <c r="D29" i="2" s="1"/>
  <c r="F29" i="2" s="1"/>
  <c r="D30" i="2" s="1"/>
  <c r="F30" i="2" s="1"/>
  <c r="D31" i="2" s="1"/>
  <c r="F31" i="2" s="1"/>
  <c r="D32" i="2" s="1"/>
  <c r="F32" i="2" s="1"/>
  <c r="Z28" i="2" l="1"/>
  <c r="AA28" i="2" s="1"/>
  <c r="Z29" i="2" s="1"/>
  <c r="AA29" i="2" s="1"/>
  <c r="Z30" i="2" s="1"/>
  <c r="Q26" i="2"/>
  <c r="R26" i="2" s="1"/>
  <c r="Q27" i="2" s="1"/>
  <c r="R27" i="2" s="1"/>
  <c r="Q28" i="2" s="1"/>
  <c r="I16" i="2"/>
  <c r="H17" i="2" s="1"/>
  <c r="G25" i="2"/>
  <c r="G32" i="2"/>
  <c r="D33" i="2"/>
  <c r="F33" i="2" s="1"/>
  <c r="D34" i="2" s="1"/>
  <c r="F34" i="2" s="1"/>
  <c r="D35" i="2" s="1"/>
  <c r="F35" i="2" s="1"/>
  <c r="D36" i="2" s="1"/>
  <c r="F36" i="2" s="1"/>
  <c r="D37" i="2" s="1"/>
  <c r="AA30" i="2" l="1"/>
  <c r="Z31" i="2" s="1"/>
  <c r="R28" i="2"/>
  <c r="I17" i="2"/>
  <c r="H18" i="2" s="1"/>
  <c r="AA31" i="2" l="1"/>
  <c r="Z32" i="2" s="1"/>
  <c r="Q29" i="2"/>
  <c r="R29" i="2" s="1"/>
  <c r="Q30" i="2" s="1"/>
  <c r="R30" i="2" s="1"/>
  <c r="Q31" i="2" s="1"/>
  <c r="I18" i="2"/>
  <c r="AA32" i="2" l="1"/>
  <c r="R31" i="2"/>
  <c r="Q32" i="2" s="1"/>
  <c r="H19" i="2"/>
  <c r="I19" i="2" s="1"/>
  <c r="H20" i="2" s="1"/>
  <c r="I20" i="2" s="1"/>
  <c r="H21" i="2" s="1"/>
  <c r="Z33" i="2" l="1"/>
  <c r="AA33" i="2" s="1"/>
  <c r="Z34" i="2" s="1"/>
  <c r="AA34" i="2" s="1"/>
  <c r="R32" i="2"/>
  <c r="I21" i="2"/>
  <c r="H22" i="2" s="1"/>
  <c r="Z35" i="2" l="1"/>
  <c r="AA35" i="2" s="1"/>
  <c r="Z36" i="2" s="1"/>
  <c r="AA36" i="2" s="1"/>
  <c r="Z37" i="2" s="1"/>
  <c r="Q33" i="2"/>
  <c r="R33" i="2" s="1"/>
  <c r="Q34" i="2" s="1"/>
  <c r="R34" i="2" s="1"/>
  <c r="Q35" i="2" s="1"/>
  <c r="I22" i="2"/>
  <c r="H23" i="2" s="1"/>
  <c r="R35" i="2" l="1"/>
  <c r="Q36" i="2" s="1"/>
  <c r="I23" i="2"/>
  <c r="H24" i="2" s="1"/>
  <c r="R36" i="2" l="1"/>
  <c r="Q37" i="2" s="1"/>
  <c r="I24" i="2"/>
  <c r="R37" i="2" l="1"/>
  <c r="Q38" i="2" s="1"/>
  <c r="H25" i="2"/>
  <c r="I25" i="2" s="1"/>
  <c r="H26" i="2" s="1"/>
  <c r="R38" i="2" l="1"/>
  <c r="Q39" i="2" s="1"/>
  <c r="I26" i="2"/>
  <c r="R39" i="2" l="1"/>
  <c r="H27" i="2"/>
  <c r="I27" i="2" s="1"/>
  <c r="H28" i="2" s="1"/>
  <c r="I28" i="2" s="1"/>
  <c r="Q40" i="2" l="1"/>
  <c r="R40" i="2" s="1"/>
  <c r="Q41" i="2" s="1"/>
  <c r="R41" i="2" s="1"/>
  <c r="Q42" i="2" s="1"/>
  <c r="H29" i="2"/>
  <c r="I29" i="2" s="1"/>
  <c r="H30" i="2" s="1"/>
  <c r="I30" i="2" s="1"/>
  <c r="H31" i="2" s="1"/>
  <c r="I31" i="2" s="1"/>
  <c r="R42" i="2" l="1"/>
  <c r="H32" i="2"/>
  <c r="I32" i="2" s="1"/>
  <c r="Q43" i="2" l="1"/>
  <c r="R43" i="2" s="1"/>
  <c r="Q44" i="2" s="1"/>
  <c r="H33" i="2"/>
  <c r="I33" i="2" s="1"/>
  <c r="H34" i="2" s="1"/>
  <c r="I34" i="2" s="1"/>
  <c r="H35" i="2" l="1"/>
  <c r="I35" i="2" s="1"/>
  <c r="H36" i="2" s="1"/>
  <c r="I36" i="2" s="1"/>
  <c r="H37" i="2" l="1"/>
  <c r="I37" i="2" s="1"/>
  <c r="H38" i="2" s="1"/>
  <c r="I38" i="2" s="1"/>
  <c r="H39" i="2" l="1"/>
  <c r="I39" i="2" s="1"/>
  <c r="H40" i="2" l="1"/>
  <c r="I40" i="2" s="1"/>
  <c r="H41" i="2" l="1"/>
  <c r="I41" i="2" s="1"/>
  <c r="H42" i="2" l="1"/>
  <c r="I42" i="2" s="1"/>
  <c r="H43" i="2" s="1"/>
  <c r="I43" i="2" s="1"/>
  <c r="H44" i="2" l="1"/>
  <c r="I44" i="2" s="1"/>
  <c r="H45" i="2" s="1"/>
  <c r="I45" i="2" s="1"/>
  <c r="H46" i="2" l="1"/>
  <c r="I46" i="2" s="1"/>
  <c r="H47" i="2" l="1"/>
  <c r="I47" i="2" s="1"/>
  <c r="H48" i="2" s="1"/>
  <c r="I48" i="2" s="1"/>
  <c r="H49" i="2" s="1"/>
  <c r="I49" i="2" s="1"/>
  <c r="H50" i="2" l="1"/>
  <c r="I50" i="2" s="1"/>
  <c r="H51" i="2" s="1"/>
  <c r="E51" i="2"/>
  <c r="R44" i="2" l="1"/>
  <c r="Q45" i="2" s="1"/>
  <c r="E45" i="2"/>
  <c r="E38" i="2"/>
  <c r="E37" i="2"/>
  <c r="F37" i="2" s="1"/>
  <c r="D38" i="2" s="1"/>
  <c r="AA37" i="2"/>
  <c r="Z38" i="2" s="1"/>
  <c r="E44" i="2"/>
  <c r="E72" i="2"/>
  <c r="E73" i="2"/>
  <c r="I51" i="2"/>
  <c r="H52" i="2" s="1"/>
  <c r="E52" i="2"/>
  <c r="F38" i="2" l="1"/>
  <c r="D39" i="2" s="1"/>
  <c r="F39" i="2" s="1"/>
  <c r="G39" i="2" s="1"/>
  <c r="I52" i="2"/>
  <c r="H53" i="2" s="1"/>
  <c r="I53" i="2" s="1"/>
  <c r="H54" i="2" s="1"/>
  <c r="I54" i="2" s="1"/>
  <c r="H55" i="2" s="1"/>
  <c r="I55" i="2" s="1"/>
  <c r="H56" i="2" s="1"/>
  <c r="I56" i="2" s="1"/>
  <c r="H57" i="2" s="1"/>
  <c r="I57" i="2" s="1"/>
  <c r="H58" i="2" s="1"/>
  <c r="I58" i="2" s="1"/>
  <c r="H59" i="2" s="1"/>
  <c r="I59" i="2" s="1"/>
  <c r="H60" i="2" s="1"/>
  <c r="I60" i="2" s="1"/>
  <c r="H61" i="2" s="1"/>
  <c r="I61" i="2" s="1"/>
  <c r="H62" i="2" s="1"/>
  <c r="I62" i="2" s="1"/>
  <c r="H63" i="2" s="1"/>
  <c r="I63" i="2" s="1"/>
  <c r="H64" i="2" s="1"/>
  <c r="I64" i="2" s="1"/>
  <c r="H65" i="2" s="1"/>
  <c r="I65" i="2" s="1"/>
  <c r="H66" i="2" s="1"/>
  <c r="I66" i="2" s="1"/>
  <c r="H67" i="2" s="1"/>
  <c r="I67" i="2" s="1"/>
  <c r="H68" i="2" s="1"/>
  <c r="I68" i="2" s="1"/>
  <c r="H69" i="2" s="1"/>
  <c r="I69" i="2" s="1"/>
  <c r="H70" i="2" s="1"/>
  <c r="I70" i="2" s="1"/>
  <c r="H71" i="2" s="1"/>
  <c r="I71" i="2" s="1"/>
  <c r="H72" i="2" s="1"/>
  <c r="I72" i="2" s="1"/>
  <c r="H73" i="2" s="1"/>
  <c r="I73" i="2" s="1"/>
  <c r="H74" i="2" s="1"/>
  <c r="I74" i="2" s="1"/>
  <c r="AA38" i="2"/>
  <c r="Z39" i="2" s="1"/>
  <c r="AA39" i="2" s="1"/>
  <c r="Z40" i="2" s="1"/>
  <c r="AA40" i="2" s="1"/>
  <c r="Z41" i="2" s="1"/>
  <c r="AA41" i="2" s="1"/>
  <c r="Z42" i="2" s="1"/>
  <c r="AA42" i="2" s="1"/>
  <c r="Z43" i="2" s="1"/>
  <c r="AA43" i="2" s="1"/>
  <c r="Z44" i="2" s="1"/>
  <c r="AA44" i="2" s="1"/>
  <c r="Z45" i="2" s="1"/>
  <c r="AA45" i="2" s="1"/>
  <c r="Z46" i="2" s="1"/>
  <c r="AA46" i="2" s="1"/>
  <c r="Z47" i="2" s="1"/>
  <c r="AA47" i="2" s="1"/>
  <c r="Z48" i="2" s="1"/>
  <c r="AA48" i="2" s="1"/>
  <c r="Z49" i="2" s="1"/>
  <c r="AA49" i="2" s="1"/>
  <c r="Z50" i="2" s="1"/>
  <c r="AA50" i="2" s="1"/>
  <c r="Z51" i="2" s="1"/>
  <c r="AA51" i="2" s="1"/>
  <c r="Z52" i="2" s="1"/>
  <c r="AA52" i="2" s="1"/>
  <c r="Z53" i="2" s="1"/>
  <c r="AA53" i="2" s="1"/>
  <c r="Z54" i="2" s="1"/>
  <c r="AA54" i="2" s="1"/>
  <c r="Z55" i="2" s="1"/>
  <c r="AA55" i="2" s="1"/>
  <c r="Z56" i="2" s="1"/>
  <c r="AA56" i="2" s="1"/>
  <c r="Z57" i="2" s="1"/>
  <c r="AA57" i="2" s="1"/>
  <c r="Z58" i="2" s="1"/>
  <c r="AA58" i="2" s="1"/>
  <c r="Z59" i="2" s="1"/>
  <c r="AA59" i="2" s="1"/>
  <c r="Z60" i="2" s="1"/>
  <c r="AA60" i="2" s="1"/>
  <c r="Z61" i="2" s="1"/>
  <c r="AA61" i="2" s="1"/>
  <c r="Z62" i="2" s="1"/>
  <c r="AA62" i="2" s="1"/>
  <c r="Z63" i="2" s="1"/>
  <c r="AA63" i="2" s="1"/>
  <c r="Z64" i="2" s="1"/>
  <c r="AA64" i="2" s="1"/>
  <c r="Z65" i="2" s="1"/>
  <c r="AA65" i="2" s="1"/>
  <c r="Z66" i="2" s="1"/>
  <c r="AA66" i="2" s="1"/>
  <c r="Z67" i="2" s="1"/>
  <c r="AA67" i="2" s="1"/>
  <c r="Z68" i="2" s="1"/>
  <c r="AA68" i="2" s="1"/>
  <c r="Z69" i="2" s="1"/>
  <c r="AA69" i="2" s="1"/>
  <c r="Z70" i="2" s="1"/>
  <c r="AA70" i="2" s="1"/>
  <c r="Z71" i="2" s="1"/>
  <c r="AA71" i="2" s="1"/>
  <c r="Z72" i="2" s="1"/>
  <c r="AA72" i="2" s="1"/>
  <c r="Z73" i="2" s="1"/>
  <c r="AA73" i="2" s="1"/>
  <c r="Z74" i="2" s="1"/>
  <c r="AA74" i="2" s="1"/>
  <c r="R45" i="2"/>
  <c r="Q46" i="2" s="1"/>
  <c r="R46" i="2" s="1"/>
  <c r="Q47" i="2" s="1"/>
  <c r="R47" i="2" s="1"/>
  <c r="Q48" i="2" s="1"/>
  <c r="R48" i="2" s="1"/>
  <c r="Q49" i="2" s="1"/>
  <c r="R49" i="2" s="1"/>
  <c r="Q50" i="2" s="1"/>
  <c r="R50" i="2" s="1"/>
  <c r="Q51" i="2" s="1"/>
  <c r="R51" i="2" s="1"/>
  <c r="Q52" i="2" s="1"/>
  <c r="R52" i="2" s="1"/>
  <c r="Q53" i="2" s="1"/>
  <c r="R53" i="2" s="1"/>
  <c r="Q54" i="2" s="1"/>
  <c r="R54" i="2" s="1"/>
  <c r="Q55" i="2" s="1"/>
  <c r="R55" i="2" s="1"/>
  <c r="Q56" i="2" s="1"/>
  <c r="R56" i="2" s="1"/>
  <c r="Q57" i="2" s="1"/>
  <c r="R57" i="2" s="1"/>
  <c r="Q58" i="2" s="1"/>
  <c r="R58" i="2" s="1"/>
  <c r="Q59" i="2" s="1"/>
  <c r="R59" i="2" s="1"/>
  <c r="Q60" i="2" s="1"/>
  <c r="R60" i="2" s="1"/>
  <c r="Q61" i="2" s="1"/>
  <c r="R61" i="2" s="1"/>
  <c r="Q62" i="2" s="1"/>
  <c r="R62" i="2" s="1"/>
  <c r="Q63" i="2" s="1"/>
  <c r="R63" i="2" s="1"/>
  <c r="Q64" i="2" s="1"/>
  <c r="R64" i="2" s="1"/>
  <c r="Q65" i="2" s="1"/>
  <c r="R65" i="2" s="1"/>
  <c r="Q66" i="2" s="1"/>
  <c r="R66" i="2" s="1"/>
  <c r="Q67" i="2" s="1"/>
  <c r="R67" i="2" s="1"/>
  <c r="Q68" i="2" s="1"/>
  <c r="R68" i="2" s="1"/>
  <c r="Q69" i="2" s="1"/>
  <c r="R69" i="2" s="1"/>
  <c r="Q70" i="2" s="1"/>
  <c r="R70" i="2" s="1"/>
  <c r="Q71" i="2" s="1"/>
  <c r="R71" i="2" s="1"/>
  <c r="Q72" i="2" s="1"/>
  <c r="R72" i="2" s="1"/>
  <c r="Q73" i="2" s="1"/>
  <c r="R73" i="2" s="1"/>
  <c r="Q74" i="2" s="1"/>
  <c r="R74" i="2" s="1"/>
  <c r="D40" i="2" l="1"/>
  <c r="F40" i="2" s="1"/>
  <c r="D41" i="2" s="1"/>
  <c r="F41" i="2" s="1"/>
  <c r="D42" i="2" s="1"/>
  <c r="F42" i="2" s="1"/>
  <c r="D43" i="2" s="1"/>
  <c r="F43" i="2" s="1"/>
  <c r="D44" i="2" s="1"/>
  <c r="F44" i="2" s="1"/>
  <c r="D45" i="2" s="1"/>
  <c r="F45" i="2" s="1"/>
  <c r="D46" i="2" s="1"/>
  <c r="F46" i="2" s="1"/>
  <c r="D47" i="2" s="1"/>
  <c r="F47" i="2" s="1"/>
  <c r="D48" i="2" s="1"/>
  <c r="F48" i="2" s="1"/>
  <c r="D49" i="2" s="1"/>
  <c r="F49" i="2" s="1"/>
  <c r="D50" i="2" s="1"/>
  <c r="F50" i="2" s="1"/>
  <c r="D51" i="2" s="1"/>
  <c r="F51" i="2" s="1"/>
  <c r="D52" i="2" s="1"/>
  <c r="F52" i="2" s="1"/>
  <c r="D53" i="2" s="1"/>
  <c r="F53" i="2" s="1"/>
  <c r="G46" i="2" l="1"/>
  <c r="G53" i="2"/>
  <c r="D54" i="2"/>
  <c r="F54" i="2" s="1"/>
  <c r="D55" i="2" s="1"/>
  <c r="F55" i="2" s="1"/>
  <c r="D56" i="2" s="1"/>
  <c r="F56" i="2" s="1"/>
  <c r="D57" i="2" s="1"/>
  <c r="F57" i="2" s="1"/>
  <c r="D58" i="2" s="1"/>
  <c r="F58" i="2" s="1"/>
  <c r="D59" i="2" s="1"/>
  <c r="F59" i="2" s="1"/>
  <c r="D60" i="2" s="1"/>
  <c r="F60" i="2" s="1"/>
  <c r="G60" i="2" l="1"/>
  <c r="D61" i="2"/>
  <c r="F61" i="2" s="1"/>
  <c r="D62" i="2" s="1"/>
  <c r="F62" i="2" s="1"/>
  <c r="D63" i="2" s="1"/>
  <c r="F63" i="2" s="1"/>
  <c r="D64" i="2" s="1"/>
  <c r="F64" i="2" s="1"/>
  <c r="D65" i="2" s="1"/>
  <c r="F65" i="2" s="1"/>
  <c r="D66" i="2" s="1"/>
  <c r="F66" i="2" s="1"/>
  <c r="D67" i="2" s="1"/>
  <c r="F67" i="2" s="1"/>
  <c r="G67" i="2" l="1"/>
  <c r="D68" i="2"/>
  <c r="F68" i="2" s="1"/>
  <c r="D69" i="2" s="1"/>
  <c r="F69" i="2" s="1"/>
  <c r="D70" i="2" s="1"/>
  <c r="F70" i="2" s="1"/>
  <c r="D71" i="2" s="1"/>
  <c r="F71" i="2" s="1"/>
  <c r="D72" i="2" s="1"/>
  <c r="F72" i="2" s="1"/>
  <c r="D73" i="2" s="1"/>
  <c r="F73" i="2" s="1"/>
  <c r="D74" i="2" s="1"/>
  <c r="F74" i="2" s="1"/>
  <c r="G74" i="2" s="1"/>
</calcChain>
</file>

<file path=xl/sharedStrings.xml><?xml version="1.0" encoding="utf-8"?>
<sst xmlns="http://schemas.openxmlformats.org/spreadsheetml/2006/main" count="275" uniqueCount="151">
  <si>
    <t>Beginn</t>
  </si>
  <si>
    <t>Ende</t>
  </si>
  <si>
    <t>Klasse</t>
  </si>
  <si>
    <t>Runde</t>
  </si>
  <si>
    <t xml:space="preserve">Paare </t>
  </si>
  <si>
    <t>Tänze</t>
  </si>
  <si>
    <t>Dauer</t>
  </si>
  <si>
    <t>Fläche</t>
  </si>
  <si>
    <t>Sen I D Std</t>
  </si>
  <si>
    <t>Sen I B Std</t>
  </si>
  <si>
    <t>Pause</t>
  </si>
  <si>
    <t>Sen III D Std</t>
  </si>
  <si>
    <t>Sen II D Std</t>
  </si>
  <si>
    <t>Sen I A Std</t>
  </si>
  <si>
    <t>Sen I S Std</t>
  </si>
  <si>
    <t>Sen I C Std</t>
  </si>
  <si>
    <t>Sen II S Std</t>
  </si>
  <si>
    <t>Sen I D Lat</t>
  </si>
  <si>
    <t>Sen I B Lat</t>
  </si>
  <si>
    <t>Sen I A Lat</t>
  </si>
  <si>
    <t>Sen II C Std</t>
  </si>
  <si>
    <t>Sen III B Std</t>
  </si>
  <si>
    <t>Sen II A Std</t>
  </si>
  <si>
    <t>Sen III C Std</t>
  </si>
  <si>
    <t>Sen III A Std</t>
  </si>
  <si>
    <t>Sen I C Lat</t>
  </si>
  <si>
    <t>Sen I S Lat</t>
  </si>
  <si>
    <t>Sen II B Lat</t>
  </si>
  <si>
    <t>Sen II B Std</t>
  </si>
  <si>
    <t>Sen III S Std</t>
  </si>
  <si>
    <t>Sen IV S Std</t>
  </si>
  <si>
    <t>Soll</t>
  </si>
  <si>
    <t>Anfang</t>
  </si>
  <si>
    <t>Ist</t>
  </si>
  <si>
    <t>Gesamt</t>
  </si>
  <si>
    <t>Sen II A Lat</t>
  </si>
  <si>
    <t>Erläuterungen</t>
  </si>
  <si>
    <t>Zeitplanung für Turniere</t>
  </si>
  <si>
    <t>Zeitplan</t>
  </si>
  <si>
    <t>Fläche 1</t>
  </si>
  <si>
    <t>Fläche 2</t>
  </si>
  <si>
    <t>Fläche 3</t>
  </si>
  <si>
    <t>Allgemeine Angaben</t>
  </si>
  <si>
    <t>D Klasse</t>
  </si>
  <si>
    <t>C Klasse</t>
  </si>
  <si>
    <t>B Klasse</t>
  </si>
  <si>
    <t>A Klasse</t>
  </si>
  <si>
    <t>S Klasse</t>
  </si>
  <si>
    <t>Pause zwischen den Runden</t>
  </si>
  <si>
    <t xml:space="preserve">Siegerehrung </t>
  </si>
  <si>
    <t>Dauer der Siegerehrung</t>
  </si>
  <si>
    <t>Kin D Lat</t>
  </si>
  <si>
    <t>Kin D Std</t>
  </si>
  <si>
    <t>Jun I D Lat</t>
  </si>
  <si>
    <t>Jun I D Std</t>
  </si>
  <si>
    <t>Jun II D Lat</t>
  </si>
  <si>
    <t>Jun II D Std</t>
  </si>
  <si>
    <t>Jug D Lat</t>
  </si>
  <si>
    <t>Jug D Std</t>
  </si>
  <si>
    <t>Hgr D Lat</t>
  </si>
  <si>
    <t>Hgr D Std</t>
  </si>
  <si>
    <t>Hgr II D Lat</t>
  </si>
  <si>
    <t>Hgr II D Std</t>
  </si>
  <si>
    <t>Kin C Lat</t>
  </si>
  <si>
    <t>Kin C Std</t>
  </si>
  <si>
    <t>Jun I C Lat</t>
  </si>
  <si>
    <t>Jun I C Std</t>
  </si>
  <si>
    <t>Jun II C Lat</t>
  </si>
  <si>
    <t>Jun II C Std</t>
  </si>
  <si>
    <t>Jug C Lat</t>
  </si>
  <si>
    <t>Jug C Std</t>
  </si>
  <si>
    <t>Hgr C Lat</t>
  </si>
  <si>
    <t>Hgr C Std</t>
  </si>
  <si>
    <t>Hgr II C Lat</t>
  </si>
  <si>
    <t>Hgr II C Std</t>
  </si>
  <si>
    <t>Jun I B Lat</t>
  </si>
  <si>
    <t>Jun I B Std</t>
  </si>
  <si>
    <t>Jun II B Lat</t>
  </si>
  <si>
    <t>Jun II B Std</t>
  </si>
  <si>
    <t>Jug B Lat</t>
  </si>
  <si>
    <t>Jug B Std</t>
  </si>
  <si>
    <t>Hgr B Lat</t>
  </si>
  <si>
    <t>Hgr B Std</t>
  </si>
  <si>
    <t>Hgr II B Lat</t>
  </si>
  <si>
    <t>Hgr II B Std</t>
  </si>
  <si>
    <t>Sen IV B Std</t>
  </si>
  <si>
    <t>Hgr A Lat</t>
  </si>
  <si>
    <t>Hgr A Std</t>
  </si>
  <si>
    <t>Hgr II A Lat</t>
  </si>
  <si>
    <t>Hgr II A Std</t>
  </si>
  <si>
    <t>Sen IV A Std</t>
  </si>
  <si>
    <t>Hgr S Lat</t>
  </si>
  <si>
    <t>Hgr S Std</t>
  </si>
  <si>
    <t>Hgr II S Lat</t>
  </si>
  <si>
    <t>Hgr II S Std</t>
  </si>
  <si>
    <t>Sen II S Lat</t>
  </si>
  <si>
    <t>Jug A Lat</t>
  </si>
  <si>
    <t>Jug A Std</t>
  </si>
  <si>
    <t>direkt nach dem Finale</t>
  </si>
  <si>
    <t>Paarzahl</t>
  </si>
  <si>
    <t>Dauer eines Tanzes (inkl. Rundenwechsel)</t>
  </si>
  <si>
    <t>Nach der VR des nächsten Blocks</t>
  </si>
  <si>
    <t>Rundeneinteilung</t>
  </si>
  <si>
    <t>Gruppen</t>
  </si>
  <si>
    <t>max. 
Dauer</t>
  </si>
  <si>
    <t>Startzeit</t>
  </si>
  <si>
    <t>Endzeit</t>
  </si>
  <si>
    <t>Diese Excel-Datei dient als Hilfestellung für alle Turnierveranstalter.</t>
  </si>
  <si>
    <t>Mit nur wenigen Eingaben kann kontrolliert werden, ob die Anzahl der gemeldeten Paaren mit dem Zeitplan in Einklang zu bringen ist.</t>
  </si>
  <si>
    <t>Anleitung:</t>
  </si>
  <si>
    <t>Im Tabellenblatt Allgemeines gibt man zunächst die Start- und Endzeiten sowie die einzelnen Klassen ein.</t>
  </si>
  <si>
    <t>Bei einem Mehrflächenturnier für alle stattfindenden Flächen. Bei einem Turniertag mit nur einer Turnierfläche nur für diese.</t>
  </si>
  <si>
    <t>Zellen die nicht benötigt werden, bleiben leer.</t>
  </si>
  <si>
    <t>Anzahl Flächen (max. 3)</t>
  </si>
  <si>
    <t>Start- und Enzeiten müssen als HH:MM eingegebenen werden.</t>
  </si>
  <si>
    <t xml:space="preserve">Die Startklassen müssen wir folgt eingegeben werden. </t>
  </si>
  <si>
    <t>Hauptgruppe II A Std als "HGR II A Std"</t>
  </si>
  <si>
    <t>Kinder C Latein als "Kin C Lat"</t>
  </si>
  <si>
    <t>Senioren III S Standard als "Sen III S Std"</t>
  </si>
  <si>
    <t>(1,2 oder 3)</t>
  </si>
  <si>
    <t>Bis zur gewünschten Höhe.</t>
  </si>
  <si>
    <t>für 1:30 Min bitte 1,5 eingeben
für 2:00 Min bitte 2 eingeben usw.
Zeit ist inkl. Gruppenwechsel</t>
  </si>
  <si>
    <t xml:space="preserve">Eingabe als HH:MM </t>
  </si>
  <si>
    <t>Auswahl durch "x" markieren. 
Bitte nur eines der beiden Felder befüllen.</t>
  </si>
  <si>
    <t>Weitere Angaben, die den zeitlichen Turnierablauf beeinflussen, werden in den weiteren Feldern eingetragen.</t>
  </si>
  <si>
    <t>Angabe, auf wie vielen Flächen das Turnier stattfinden wird.</t>
  </si>
  <si>
    <t>Paare pro Gruppe max.</t>
  </si>
  <si>
    <t>Je nach Flächengröße, Alters- und Leistungsklassen oder Disziplin passen unterschiedlich viele Paare auf eine Fläche.</t>
  </si>
  <si>
    <t>In die 5 angegebenen Felder wird die jeweils gewünschte Anzahl an Paaren eingetragen.</t>
  </si>
  <si>
    <t xml:space="preserve">Grundlegend kann man davon ausgehen, dass mind. 7 Paare auf eine Fläche passen. </t>
  </si>
  <si>
    <t>Denn so viele müssen auch in einem Finale mit 7 Paaren auf die Fläche passen.</t>
  </si>
  <si>
    <t>Eingabe erfolgt als HH:MM</t>
  </si>
  <si>
    <t xml:space="preserve">Dauer eines Tanzes </t>
  </si>
  <si>
    <t>(inkl. Gruppenwechsel)</t>
  </si>
  <si>
    <t>Empfehlung aus Erfahrung für diesen Plan 2 Minuten</t>
  </si>
  <si>
    <t>Auf dem Turnier wird die Musik dann bei 1:40 abgedreht, dass sie bei 1:45 aus ist.</t>
  </si>
  <si>
    <t xml:space="preserve">Eingabe erfolgt als Dezimalzahl </t>
  </si>
  <si>
    <t>Für 1 Minuten 30 Sekunden also 1,5 / Für 2 Minuten also 2</t>
  </si>
  <si>
    <t>Geschätze Angabe über die Dauer der Siegerehrung</t>
  </si>
  <si>
    <t xml:space="preserve">Nach der VR des </t>
  </si>
  <si>
    <t>nächsten Blocks</t>
  </si>
  <si>
    <t>Empfohlen bei Turnieren, mit einem engen Zeitplan</t>
  </si>
  <si>
    <t>Während der Vorrunde des nachfolgenden Blocks, kann die Siegerehrung entspannt vorbereitet werden.</t>
  </si>
  <si>
    <t xml:space="preserve">Pause zwischen </t>
  </si>
  <si>
    <t>den Runden</t>
  </si>
  <si>
    <t>Bei kombinierten Klassen jeweils nur eine Klasse angeben. Hauptgruppe B/A Latein als "HGR A Lat" eingeben.</t>
  </si>
  <si>
    <t>Kann sehr zeitraubend sein, vor allem, wenn die Vorbereitung andauert</t>
  </si>
  <si>
    <t>DTV Empfehlung: 20 Minuten, mindestens jedoch 10 Minuten; Empfehlung aus Erfahrung für diesen Plan 15 Minuten</t>
  </si>
  <si>
    <t>Der einfachheithalber wird der Disziplin und Altersklasse keine Beachtung geschenkt.</t>
  </si>
  <si>
    <t>x</t>
  </si>
  <si>
    <t>Z.B.: für 10.30 Uhr erfolgt die Eingabe "10:30" [natürlich ohne ""]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</si>
</sst>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hh:mm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auto="1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auto="1"/>
      </right>
      <top/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0" fillId="7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5" borderId="0" xfId="0" applyFill="1" applyProtection="1">
      <protection hidden="1"/>
    </xf>
    <xf numFmtId="0" fontId="0" fillId="4" borderId="0" xfId="0" applyFill="1" applyProtection="1">
      <protection hidden="1"/>
    </xf>
    <xf numFmtId="0" fontId="0" fillId="2" borderId="0" xfId="0" applyFill="1" applyProtection="1">
      <protection hidden="1"/>
    </xf>
    <xf numFmtId="165" fontId="0" fillId="0" borderId="5" xfId="0" applyNumberFormat="1" applyFill="1" applyBorder="1" applyAlignment="1" applyProtection="1">
      <alignment horizontal="center"/>
      <protection hidden="1"/>
    </xf>
    <xf numFmtId="165" fontId="0" fillId="0" borderId="12" xfId="0" applyNumberFormat="1" applyFill="1" applyBorder="1" applyAlignment="1" applyProtection="1">
      <alignment horizontal="center"/>
      <protection hidden="1"/>
    </xf>
    <xf numFmtId="165" fontId="0" fillId="0" borderId="15" xfId="0" applyNumberFormat="1" applyFill="1" applyBorder="1" applyAlignment="1" applyProtection="1">
      <alignment horizontal="center"/>
      <protection hidden="1"/>
    </xf>
    <xf numFmtId="165" fontId="0" fillId="0" borderId="11" xfId="0" applyNumberFormat="1" applyFill="1" applyBorder="1" applyAlignment="1" applyProtection="1">
      <alignment horizontal="center"/>
      <protection hidden="1"/>
    </xf>
    <xf numFmtId="0" fontId="0" fillId="0" borderId="14" xfId="0" applyFill="1" applyBorder="1" applyAlignment="1" applyProtection="1">
      <alignment horizontal="center"/>
      <protection hidden="1"/>
    </xf>
    <xf numFmtId="0" fontId="0" fillId="0" borderId="12" xfId="0" applyFill="1" applyBorder="1" applyAlignment="1" applyProtection="1">
      <alignment horizontal="center"/>
      <protection hidden="1"/>
    </xf>
    <xf numFmtId="165" fontId="0" fillId="0" borderId="16" xfId="0" quotePrefix="1" applyNumberFormat="1" applyFill="1" applyBorder="1" applyAlignment="1" applyProtection="1">
      <alignment horizontal="center"/>
      <protection hidden="1"/>
    </xf>
    <xf numFmtId="165" fontId="0" fillId="0" borderId="6" xfId="0" applyNumberFormat="1" applyFill="1" applyBorder="1" applyAlignment="1" applyProtection="1">
      <alignment horizontal="center"/>
      <protection hidden="1"/>
    </xf>
    <xf numFmtId="165" fontId="0" fillId="0" borderId="9" xfId="0" applyNumberFormat="1" applyFill="1" applyBorder="1" applyAlignment="1" applyProtection="1">
      <alignment horizontal="center"/>
      <protection hidden="1"/>
    </xf>
    <xf numFmtId="165" fontId="0" fillId="0" borderId="18" xfId="0" applyNumberFormat="1" applyFill="1" applyBorder="1" applyAlignment="1" applyProtection="1">
      <alignment horizontal="center"/>
      <protection hidden="1"/>
    </xf>
    <xf numFmtId="0" fontId="0" fillId="0" borderId="8" xfId="0" applyFill="1" applyBorder="1" applyAlignment="1" applyProtection="1">
      <alignment horizontal="center"/>
      <protection hidden="1"/>
    </xf>
    <xf numFmtId="0" fontId="0" fillId="0" borderId="6" xfId="0" applyFill="1" applyBorder="1" applyAlignment="1" applyProtection="1">
      <alignment horizontal="center"/>
      <protection hidden="1"/>
    </xf>
    <xf numFmtId="165" fontId="0" fillId="0" borderId="17" xfId="0" quotePrefix="1" applyNumberFormat="1" applyFill="1" applyBorder="1" applyAlignment="1" applyProtection="1">
      <alignment horizontal="center"/>
      <protection hidden="1"/>
    </xf>
    <xf numFmtId="165" fontId="0" fillId="0" borderId="0" xfId="0" applyNumberFormat="1" applyFill="1" applyBorder="1" applyAlignment="1" applyProtection="1">
      <alignment horizontal="center"/>
      <protection locked="0"/>
    </xf>
    <xf numFmtId="165" fontId="0" fillId="0" borderId="0" xfId="0" applyNumberFormat="1" applyBorder="1" applyAlignment="1" applyProtection="1">
      <alignment horizontal="center"/>
      <protection locked="0"/>
    </xf>
    <xf numFmtId="16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20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hidden="1"/>
    </xf>
    <xf numFmtId="165" fontId="0" fillId="0" borderId="24" xfId="0" applyNumberFormat="1" applyFill="1" applyBorder="1" applyAlignment="1" applyProtection="1">
      <alignment horizontal="center"/>
      <protection hidden="1"/>
    </xf>
    <xf numFmtId="165" fontId="0" fillId="0" borderId="25" xfId="0" applyNumberFormat="1" applyFill="1" applyBorder="1" applyAlignment="1" applyProtection="1">
      <alignment horizontal="center"/>
      <protection hidden="1"/>
    </xf>
    <xf numFmtId="165" fontId="0" fillId="0" borderId="20" xfId="0" applyNumberFormat="1" applyFill="1" applyBorder="1" applyAlignment="1" applyProtection="1">
      <alignment horizontal="center"/>
      <protection hidden="1"/>
    </xf>
    <xf numFmtId="0" fontId="0" fillId="0" borderId="15" xfId="0" applyFill="1" applyBorder="1" applyAlignment="1" applyProtection="1">
      <alignment horizontal="center"/>
      <protection hidden="1"/>
    </xf>
    <xf numFmtId="0" fontId="0" fillId="0" borderId="18" xfId="0" applyFill="1" applyBorder="1" applyAlignment="1" applyProtection="1">
      <alignment horizontal="center"/>
      <protection hidden="1"/>
    </xf>
    <xf numFmtId="165" fontId="2" fillId="0" borderId="15" xfId="0" applyNumberFormat="1" applyFont="1" applyFill="1" applyBorder="1" applyAlignment="1" applyProtection="1">
      <alignment horizontal="center"/>
      <protection hidden="1"/>
    </xf>
    <xf numFmtId="165" fontId="2" fillId="0" borderId="17" xfId="0" applyNumberFormat="1" applyFont="1" applyFill="1" applyBorder="1" applyAlignment="1" applyProtection="1">
      <alignment horizontal="center"/>
      <protection hidden="1"/>
    </xf>
    <xf numFmtId="165" fontId="2" fillId="0" borderId="0" xfId="0" applyNumberFormat="1" applyFont="1" applyFill="1" applyBorder="1" applyAlignment="1" applyProtection="1">
      <protection locked="0"/>
    </xf>
    <xf numFmtId="165" fontId="0" fillId="8" borderId="21" xfId="0" applyNumberFormat="1" applyFill="1" applyBorder="1" applyAlignment="1" applyProtection="1">
      <alignment horizontal="center"/>
      <protection hidden="1"/>
    </xf>
    <xf numFmtId="165" fontId="0" fillId="8" borderId="22" xfId="0" applyNumberFormat="1" applyFill="1" applyBorder="1" applyAlignment="1" applyProtection="1">
      <alignment horizontal="center"/>
      <protection hidden="1"/>
    </xf>
    <xf numFmtId="165" fontId="0" fillId="8" borderId="23" xfId="0" applyNumberFormat="1" applyFill="1" applyBorder="1" applyAlignment="1" applyProtection="1">
      <alignment horizontal="center"/>
      <protection hidden="1"/>
    </xf>
    <xf numFmtId="165" fontId="2" fillId="8" borderId="14" xfId="0" applyNumberFormat="1" applyFont="1" applyFill="1" applyBorder="1" applyAlignment="1" applyProtection="1">
      <alignment horizontal="center"/>
      <protection hidden="1"/>
    </xf>
    <xf numFmtId="165" fontId="0" fillId="8" borderId="5" xfId="0" applyNumberFormat="1" applyFill="1" applyBorder="1" applyAlignment="1" applyProtection="1">
      <alignment horizontal="center"/>
      <protection hidden="1"/>
    </xf>
    <xf numFmtId="165" fontId="2" fillId="8" borderId="19" xfId="0" applyNumberFormat="1" applyFont="1" applyFill="1" applyBorder="1" applyAlignment="1" applyProtection="1">
      <alignment horizontal="center"/>
      <protection hidden="1"/>
    </xf>
    <xf numFmtId="165" fontId="2" fillId="8" borderId="7" xfId="0" applyNumberFormat="1" applyFont="1" applyFill="1" applyBorder="1" applyAlignment="1" applyProtection="1">
      <alignment horizontal="center"/>
      <protection hidden="1"/>
    </xf>
    <xf numFmtId="165" fontId="0" fillId="8" borderId="0" xfId="0" applyNumberFormat="1" applyFill="1" applyBorder="1" applyAlignment="1" applyProtection="1">
      <alignment horizontal="center"/>
      <protection hidden="1"/>
    </xf>
    <xf numFmtId="165" fontId="2" fillId="8" borderId="0" xfId="0" applyNumberFormat="1" applyFont="1" applyFill="1" applyBorder="1" applyAlignment="1" applyProtection="1">
      <alignment horizontal="center"/>
      <protection hidden="1"/>
    </xf>
    <xf numFmtId="165" fontId="2" fillId="8" borderId="8" xfId="0" applyNumberFormat="1" applyFont="1" applyFill="1" applyBorder="1" applyAlignment="1" applyProtection="1">
      <alignment horizontal="center"/>
      <protection hidden="1"/>
    </xf>
    <xf numFmtId="165" fontId="0" fillId="8" borderId="6" xfId="0" applyNumberFormat="1" applyFill="1" applyBorder="1" applyAlignment="1" applyProtection="1">
      <alignment horizontal="center"/>
      <protection hidden="1"/>
    </xf>
    <xf numFmtId="165" fontId="2" fillId="8" borderId="20" xfId="0" applyNumberFormat="1" applyFont="1" applyFill="1" applyBorder="1" applyAlignment="1" applyProtection="1">
      <alignment horizontal="center"/>
      <protection hidden="1"/>
    </xf>
    <xf numFmtId="20" fontId="5" fillId="0" borderId="0" xfId="0" applyNumberFormat="1" applyFont="1" applyAlignment="1" applyProtection="1">
      <alignment horizontal="left" vertical="center" indent="1"/>
      <protection locked="0"/>
    </xf>
    <xf numFmtId="20" fontId="5" fillId="0" borderId="0" xfId="0" applyNumberFormat="1" applyFont="1" applyAlignment="1" applyProtection="1">
      <alignment horizontal="left" vertical="center" indent="1"/>
    </xf>
    <xf numFmtId="0" fontId="5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2" fillId="0" borderId="0" xfId="0" applyFont="1" applyProtection="1"/>
    <xf numFmtId="0" fontId="2" fillId="0" borderId="0" xfId="0" applyFont="1" applyFill="1" applyProtection="1"/>
    <xf numFmtId="0" fontId="0" fillId="0" borderId="0" xfId="0" applyFill="1" applyProtection="1"/>
    <xf numFmtId="165" fontId="6" fillId="0" borderId="0" xfId="0" applyNumberFormat="1" applyFont="1" applyFill="1" applyBorder="1" applyAlignment="1" applyProtection="1">
      <protection locked="0"/>
    </xf>
    <xf numFmtId="165" fontId="2" fillId="8" borderId="26" xfId="0" applyNumberFormat="1" applyFont="1" applyFill="1" applyBorder="1" applyAlignment="1" applyProtection="1">
      <alignment horizontal="center"/>
      <protection locked="0"/>
    </xf>
    <xf numFmtId="165" fontId="2" fillId="8" borderId="27" xfId="0" applyNumberFormat="1" applyFont="1" applyFill="1" applyBorder="1" applyAlignment="1" applyProtection="1">
      <alignment horizontal="center"/>
      <protection locked="0"/>
    </xf>
    <xf numFmtId="165" fontId="2" fillId="8" borderId="28" xfId="0" applyNumberFormat="1" applyFont="1" applyFill="1" applyBorder="1" applyAlignment="1" applyProtection="1">
      <alignment horizontal="center"/>
      <protection locked="0"/>
    </xf>
    <xf numFmtId="165" fontId="2" fillId="0" borderId="26" xfId="0" applyNumberFormat="1" applyFont="1" applyFill="1" applyBorder="1" applyAlignment="1" applyProtection="1">
      <alignment horizontal="center"/>
      <protection locked="0"/>
    </xf>
    <xf numFmtId="165" fontId="2" fillId="0" borderId="27" xfId="0" applyNumberFormat="1" applyFont="1" applyFill="1" applyBorder="1" applyAlignment="1" applyProtection="1">
      <alignment horizontal="center"/>
      <protection locked="0"/>
    </xf>
    <xf numFmtId="165" fontId="2" fillId="0" borderId="32" xfId="0" applyNumberFormat="1" applyFont="1" applyFill="1" applyBorder="1" applyAlignment="1" applyProtection="1">
      <alignment horizontal="center"/>
      <protection locked="0"/>
    </xf>
    <xf numFmtId="165" fontId="2" fillId="8" borderId="1" xfId="0" applyNumberFormat="1" applyFont="1" applyFill="1" applyBorder="1" applyAlignment="1" applyProtection="1">
      <alignment horizontal="center" wrapText="1"/>
      <protection locked="0"/>
    </xf>
    <xf numFmtId="165" fontId="2" fillId="8" borderId="0" xfId="0" applyNumberFormat="1" applyFont="1" applyFill="1" applyBorder="1" applyAlignment="1" applyProtection="1">
      <alignment horizontal="center"/>
      <protection locked="0"/>
    </xf>
    <xf numFmtId="165" fontId="8" fillId="8" borderId="29" xfId="0" applyNumberFormat="1" applyFont="1" applyFill="1" applyBorder="1" applyAlignment="1" applyProtection="1">
      <alignment horizontal="center" vertical="top"/>
      <protection locked="0"/>
    </xf>
    <xf numFmtId="165" fontId="8" fillId="8" borderId="30" xfId="0" applyNumberFormat="1" applyFont="1" applyFill="1" applyBorder="1" applyAlignment="1" applyProtection="1">
      <alignment horizontal="center" vertical="top"/>
      <protection locked="0"/>
    </xf>
    <xf numFmtId="165" fontId="8" fillId="8" borderId="31" xfId="0" applyNumberFormat="1" applyFont="1" applyFill="1" applyBorder="1" applyAlignment="1" applyProtection="1">
      <alignment horizontal="center" vertical="top"/>
      <protection locked="0"/>
    </xf>
    <xf numFmtId="165" fontId="8" fillId="0" borderId="29" xfId="0" applyNumberFormat="1" applyFont="1" applyFill="1" applyBorder="1" applyAlignment="1" applyProtection="1">
      <alignment horizontal="center" vertical="top"/>
      <protection locked="0"/>
    </xf>
    <xf numFmtId="165" fontId="8" fillId="0" borderId="30" xfId="0" applyNumberFormat="1" applyFont="1" applyFill="1" applyBorder="1" applyAlignment="1" applyProtection="1">
      <alignment horizontal="center" vertical="top"/>
      <protection locked="0"/>
    </xf>
    <xf numFmtId="165" fontId="8" fillId="0" borderId="33" xfId="0" applyNumberFormat="1" applyFont="1" applyFill="1" applyBorder="1" applyAlignment="1" applyProtection="1">
      <alignment horizontal="center" vertical="top"/>
      <protection locked="0"/>
    </xf>
    <xf numFmtId="165" fontId="8" fillId="8" borderId="4" xfId="0" applyNumberFormat="1" applyFont="1" applyFill="1" applyBorder="1" applyAlignment="1" applyProtection="1">
      <alignment horizontal="center" vertical="top"/>
      <protection locked="0"/>
    </xf>
    <xf numFmtId="165" fontId="7" fillId="8" borderId="3" xfId="0" applyNumberFormat="1" applyFont="1" applyFill="1" applyBorder="1" applyAlignment="1" applyProtection="1">
      <alignment horizontal="center"/>
      <protection locked="0"/>
    </xf>
    <xf numFmtId="165" fontId="7" fillId="8" borderId="2" xfId="0" applyNumberFormat="1" applyFont="1" applyFill="1" applyBorder="1" applyAlignment="1" applyProtection="1">
      <alignment horizontal="center"/>
      <protection locked="0"/>
    </xf>
    <xf numFmtId="165" fontId="7" fillId="8" borderId="13" xfId="0" applyNumberFormat="1" applyFont="1" applyFill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20" fontId="0" fillId="0" borderId="10" xfId="0" applyNumberForma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</xf>
    <xf numFmtId="20" fontId="0" fillId="0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0" fontId="2" fillId="8" borderId="0" xfId="0" applyFont="1" applyFill="1" applyProtection="1"/>
    <xf numFmtId="0" fontId="0" fillId="8" borderId="0" xfId="0" applyFill="1"/>
    <xf numFmtId="0" fontId="0" fillId="8" borderId="0" xfId="0" applyFill="1" applyProtection="1"/>
    <xf numFmtId="0" fontId="0" fillId="8" borderId="0" xfId="0" applyFont="1" applyFill="1" applyAlignment="1" applyProtection="1">
      <alignment vertical="center"/>
    </xf>
    <xf numFmtId="0" fontId="9" fillId="0" borderId="0" xfId="0" quotePrefix="1" applyFont="1" applyFill="1" applyBorder="1" applyAlignment="1" applyProtection="1">
      <alignment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20" fontId="5" fillId="0" borderId="36" xfId="0" applyNumberFormat="1" applyFont="1" applyBorder="1" applyAlignment="1" applyProtection="1">
      <alignment horizontal="left" vertical="center" indent="1"/>
      <protection locked="0"/>
    </xf>
    <xf numFmtId="0" fontId="0" fillId="0" borderId="37" xfId="0" applyBorder="1" applyAlignment="1" applyProtection="1">
      <alignment horizontal="center"/>
      <protection locked="0"/>
    </xf>
    <xf numFmtId="20" fontId="5" fillId="0" borderId="38" xfId="0" applyNumberFormat="1" applyFont="1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</xf>
    <xf numFmtId="0" fontId="2" fillId="0" borderId="41" xfId="0" applyFont="1" applyFill="1" applyBorder="1" applyAlignment="1" applyProtection="1">
      <alignment horizontal="center"/>
    </xf>
    <xf numFmtId="0" fontId="2" fillId="0" borderId="42" xfId="0" applyFont="1" applyFill="1" applyBorder="1" applyAlignment="1" applyProtection="1">
      <alignment horizontal="center"/>
    </xf>
    <xf numFmtId="0" fontId="0" fillId="0" borderId="43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/>
    </xf>
    <xf numFmtId="0" fontId="5" fillId="0" borderId="46" xfId="0" applyFont="1" applyBorder="1" applyAlignment="1" applyProtection="1">
      <alignment horizontal="left" vertical="center" indent="1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2" fillId="0" borderId="41" xfId="0" applyFont="1" applyFill="1" applyBorder="1" applyAlignment="1" applyProtection="1">
      <alignment horizontal="left"/>
    </xf>
    <xf numFmtId="0" fontId="5" fillId="0" borderId="36" xfId="0" applyFont="1" applyBorder="1" applyAlignment="1" applyProtection="1">
      <alignment horizontal="left" vertical="center" indent="1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</xf>
    <xf numFmtId="20" fontId="5" fillId="0" borderId="37" xfId="0" applyNumberFormat="1" applyFont="1" applyBorder="1" applyAlignment="1" applyProtection="1">
      <alignment horizontal="left" vertical="center" indent="1"/>
      <protection locked="0"/>
    </xf>
    <xf numFmtId="20" fontId="5" fillId="0" borderId="39" xfId="0" applyNumberFormat="1" applyFon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left" vertical="top"/>
    </xf>
    <xf numFmtId="0" fontId="7" fillId="8" borderId="34" xfId="0" applyFont="1" applyFill="1" applyBorder="1" applyAlignment="1" applyProtection="1">
      <alignment horizontal="center" vertical="center" textRotation="90"/>
      <protection locked="0"/>
    </xf>
    <xf numFmtId="0" fontId="7" fillId="8" borderId="35" xfId="0" applyFont="1" applyFill="1" applyBorder="1" applyAlignment="1" applyProtection="1">
      <alignment horizontal="center" vertical="center" textRotation="90"/>
      <protection locked="0"/>
    </xf>
    <xf numFmtId="0" fontId="7" fillId="8" borderId="27" xfId="0" applyFont="1" applyFill="1" applyBorder="1" applyAlignment="1" applyProtection="1">
      <alignment horizontal="center" vertical="center" textRotation="90"/>
      <protection locked="0"/>
    </xf>
    <xf numFmtId="0" fontId="7" fillId="8" borderId="30" xfId="0" applyFont="1" applyFill="1" applyBorder="1" applyAlignment="1" applyProtection="1">
      <alignment horizontal="center" vertical="center" textRotation="90"/>
      <protection locked="0"/>
    </xf>
    <xf numFmtId="0" fontId="7" fillId="8" borderId="27" xfId="0" applyFont="1" applyFill="1" applyBorder="1" applyAlignment="1" applyProtection="1">
      <alignment horizontal="center" vertical="center"/>
      <protection locked="0"/>
    </xf>
    <xf numFmtId="0" fontId="7" fillId="8" borderId="30" xfId="0" applyFont="1" applyFill="1" applyBorder="1" applyAlignment="1" applyProtection="1">
      <alignment horizontal="center" vertical="center"/>
      <protection locked="0"/>
    </xf>
    <xf numFmtId="165" fontId="7" fillId="8" borderId="32" xfId="0" applyNumberFormat="1" applyFont="1" applyFill="1" applyBorder="1" applyAlignment="1" applyProtection="1">
      <alignment horizontal="center" vertical="center"/>
      <protection locked="0"/>
    </xf>
    <xf numFmtId="165" fontId="7" fillId="8" borderId="33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7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7D7D"/>
      <color rgb="FFFF5353"/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showGridLines="0" topLeftCell="A13" workbookViewId="0">
      <selection activeCell="B12" sqref="B12"/>
    </sheetView>
  </sheetViews>
  <sheetFormatPr baseColWidth="10" defaultRowHeight="15" x14ac:dyDescent="0.25"/>
  <sheetData>
    <row r="1" spans="1:2" x14ac:dyDescent="0.25">
      <c r="A1" s="2" t="s">
        <v>36</v>
      </c>
    </row>
    <row r="3" spans="1:2" x14ac:dyDescent="0.25">
      <c r="A3" t="s">
        <v>107</v>
      </c>
    </row>
    <row r="4" spans="1:2" x14ac:dyDescent="0.25">
      <c r="A4" t="s">
        <v>108</v>
      </c>
    </row>
    <row r="6" spans="1:2" x14ac:dyDescent="0.25">
      <c r="A6" s="2" t="s">
        <v>109</v>
      </c>
      <c r="B6" t="s">
        <v>110</v>
      </c>
    </row>
    <row r="7" spans="1:2" x14ac:dyDescent="0.25">
      <c r="B7" t="s">
        <v>111</v>
      </c>
    </row>
    <row r="8" spans="1:2" x14ac:dyDescent="0.25">
      <c r="B8" t="s">
        <v>112</v>
      </c>
    </row>
    <row r="9" spans="1:2" ht="15.75" x14ac:dyDescent="0.25">
      <c r="B9" s="1"/>
    </row>
    <row r="10" spans="1:2" ht="15.75" x14ac:dyDescent="0.25">
      <c r="B10" s="1" t="s">
        <v>114</v>
      </c>
    </row>
    <row r="11" spans="1:2" ht="15.75" x14ac:dyDescent="0.25">
      <c r="B11" s="1" t="s">
        <v>150</v>
      </c>
    </row>
    <row r="12" spans="1:2" ht="15.75" x14ac:dyDescent="0.25">
      <c r="B12" s="1"/>
    </row>
    <row r="13" spans="1:2" ht="15.75" x14ac:dyDescent="0.25">
      <c r="B13" s="1" t="s">
        <v>115</v>
      </c>
    </row>
    <row r="14" spans="1:2" ht="15.75" x14ac:dyDescent="0.25">
      <c r="B14" s="1" t="s">
        <v>117</v>
      </c>
    </row>
    <row r="15" spans="1:2" ht="15.75" x14ac:dyDescent="0.25">
      <c r="B15" s="1" t="s">
        <v>116</v>
      </c>
    </row>
    <row r="16" spans="1:2" ht="15.75" x14ac:dyDescent="0.25">
      <c r="B16" s="1" t="s">
        <v>118</v>
      </c>
    </row>
    <row r="17" spans="1:4" ht="15.75" x14ac:dyDescent="0.25">
      <c r="B17" s="1" t="s">
        <v>145</v>
      </c>
    </row>
    <row r="19" spans="1:4" ht="15.75" x14ac:dyDescent="0.25">
      <c r="A19" s="1"/>
      <c r="B19" s="1" t="s">
        <v>124</v>
      </c>
    </row>
    <row r="20" spans="1:4" ht="15.75" x14ac:dyDescent="0.25">
      <c r="A20" s="1"/>
    </row>
    <row r="21" spans="1:4" ht="15.75" x14ac:dyDescent="0.25">
      <c r="A21" s="1"/>
      <c r="B21" s="88" t="s">
        <v>113</v>
      </c>
      <c r="C21" s="89"/>
      <c r="D21" t="s">
        <v>125</v>
      </c>
    </row>
    <row r="22" spans="1:4" ht="15.75" x14ac:dyDescent="0.25">
      <c r="A22" s="1"/>
      <c r="B22" s="88"/>
      <c r="C22" s="89"/>
    </row>
    <row r="23" spans="1:4" ht="15.75" x14ac:dyDescent="0.25">
      <c r="A23" s="1"/>
      <c r="B23" s="88" t="s">
        <v>126</v>
      </c>
      <c r="C23" s="89"/>
      <c r="D23" t="s">
        <v>127</v>
      </c>
    </row>
    <row r="24" spans="1:4" ht="15.75" x14ac:dyDescent="0.25">
      <c r="A24" s="1"/>
      <c r="B24" s="90"/>
      <c r="C24" s="89"/>
      <c r="D24" t="s">
        <v>148</v>
      </c>
    </row>
    <row r="25" spans="1:4" ht="15.75" x14ac:dyDescent="0.25">
      <c r="A25" s="1"/>
      <c r="B25" s="90"/>
      <c r="C25" s="89"/>
      <c r="D25" t="s">
        <v>128</v>
      </c>
    </row>
    <row r="26" spans="1:4" ht="15.75" x14ac:dyDescent="0.25">
      <c r="A26" s="1"/>
      <c r="B26" s="89"/>
      <c r="C26" s="89"/>
      <c r="D26" t="s">
        <v>129</v>
      </c>
    </row>
    <row r="27" spans="1:4" ht="15.75" x14ac:dyDescent="0.25">
      <c r="A27" s="1"/>
      <c r="B27" s="90"/>
      <c r="C27" s="89"/>
      <c r="D27" t="s">
        <v>130</v>
      </c>
    </row>
    <row r="28" spans="1:4" ht="15.75" x14ac:dyDescent="0.25">
      <c r="A28" s="1"/>
      <c r="B28" s="90"/>
      <c r="C28" s="89"/>
    </row>
    <row r="29" spans="1:4" ht="15.75" x14ac:dyDescent="0.25">
      <c r="A29" s="1"/>
      <c r="B29" s="88" t="s">
        <v>143</v>
      </c>
      <c r="C29" s="89"/>
      <c r="D29" t="s">
        <v>147</v>
      </c>
    </row>
    <row r="30" spans="1:4" ht="15.75" x14ac:dyDescent="0.25">
      <c r="A30" s="1"/>
      <c r="B30" s="88" t="s">
        <v>144</v>
      </c>
      <c r="C30" s="89"/>
      <c r="D30" t="s">
        <v>131</v>
      </c>
    </row>
    <row r="31" spans="1:4" ht="15.75" x14ac:dyDescent="0.25">
      <c r="A31" s="1"/>
      <c r="B31" s="89"/>
      <c r="C31" s="89"/>
    </row>
    <row r="32" spans="1:4" ht="15.75" x14ac:dyDescent="0.25">
      <c r="A32" s="1"/>
      <c r="B32" s="88" t="s">
        <v>132</v>
      </c>
      <c r="C32" s="89"/>
      <c r="D32" t="s">
        <v>134</v>
      </c>
    </row>
    <row r="33" spans="1:4" ht="15.75" x14ac:dyDescent="0.25">
      <c r="A33" s="1"/>
      <c r="B33" s="89" t="s">
        <v>133</v>
      </c>
      <c r="C33" s="89"/>
      <c r="D33" t="s">
        <v>135</v>
      </c>
    </row>
    <row r="34" spans="1:4" ht="15.75" x14ac:dyDescent="0.25">
      <c r="A34" s="1"/>
      <c r="B34" s="89"/>
      <c r="C34" s="89"/>
      <c r="D34" t="s">
        <v>136</v>
      </c>
    </row>
    <row r="35" spans="1:4" ht="15.75" x14ac:dyDescent="0.25">
      <c r="A35" s="1"/>
      <c r="B35" s="89"/>
      <c r="C35" s="89"/>
      <c r="D35" t="s">
        <v>137</v>
      </c>
    </row>
    <row r="36" spans="1:4" x14ac:dyDescent="0.25">
      <c r="B36" s="89"/>
      <c r="C36" s="89"/>
    </row>
    <row r="37" spans="1:4" x14ac:dyDescent="0.25">
      <c r="B37" s="88" t="s">
        <v>50</v>
      </c>
      <c r="C37" s="89"/>
      <c r="D37" t="s">
        <v>138</v>
      </c>
    </row>
    <row r="38" spans="1:4" x14ac:dyDescent="0.25">
      <c r="B38" s="89"/>
      <c r="C38" s="89"/>
      <c r="D38" t="s">
        <v>131</v>
      </c>
    </row>
    <row r="39" spans="1:4" x14ac:dyDescent="0.25">
      <c r="B39" s="89"/>
      <c r="C39" s="89"/>
    </row>
    <row r="40" spans="1:4" x14ac:dyDescent="0.25">
      <c r="B40" s="88" t="s">
        <v>49</v>
      </c>
      <c r="C40" s="89"/>
    </row>
    <row r="41" spans="1:4" x14ac:dyDescent="0.25">
      <c r="B41" s="91" t="s">
        <v>98</v>
      </c>
      <c r="C41" s="89"/>
      <c r="D41" t="s">
        <v>146</v>
      </c>
    </row>
    <row r="42" spans="1:4" x14ac:dyDescent="0.25">
      <c r="B42" s="89"/>
      <c r="C42" s="89"/>
    </row>
    <row r="43" spans="1:4" x14ac:dyDescent="0.25">
      <c r="B43" s="91" t="s">
        <v>139</v>
      </c>
      <c r="C43" s="89"/>
      <c r="D43" t="s">
        <v>141</v>
      </c>
    </row>
    <row r="44" spans="1:4" x14ac:dyDescent="0.25">
      <c r="B44" s="89" t="s">
        <v>140</v>
      </c>
      <c r="C44" s="89"/>
      <c r="D44" t="s">
        <v>142</v>
      </c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47"/>
  <sheetViews>
    <sheetView showGridLines="0" workbookViewId="0">
      <selection activeCell="G31" sqref="G31"/>
    </sheetView>
  </sheetViews>
  <sheetFormatPr baseColWidth="10" defaultRowHeight="15" x14ac:dyDescent="0.25"/>
  <cols>
    <col min="1" max="1" width="11.42578125" style="55"/>
    <col min="2" max="2" width="10.42578125" style="55" customWidth="1"/>
    <col min="3" max="3" width="10" style="55" bestFit="1" customWidth="1"/>
    <col min="4" max="4" width="14" style="55" bestFit="1" customWidth="1"/>
    <col min="5" max="5" width="8.42578125" style="54" bestFit="1" customWidth="1"/>
    <col min="6" max="6" width="13.85546875" style="55" bestFit="1" customWidth="1"/>
    <col min="7" max="7" width="8.42578125" style="83" bestFit="1" customWidth="1"/>
    <col min="8" max="8" width="13.85546875" style="55" customWidth="1"/>
    <col min="9" max="9" width="8.42578125" style="55" bestFit="1" customWidth="1"/>
    <col min="10" max="16384" width="11.42578125" style="55"/>
  </cols>
  <sheetData>
    <row r="3" spans="2:13" ht="15.75" thickBot="1" x14ac:dyDescent="0.3">
      <c r="B3" s="117" t="s">
        <v>38</v>
      </c>
      <c r="C3" s="117"/>
      <c r="D3" s="117"/>
      <c r="E3" s="117"/>
      <c r="F3" s="117"/>
      <c r="G3" s="117"/>
      <c r="H3" s="117"/>
      <c r="I3" s="117"/>
    </row>
    <row r="4" spans="2:13" ht="15.75" thickBot="1" x14ac:dyDescent="0.3">
      <c r="B4" s="98" t="s">
        <v>105</v>
      </c>
      <c r="C4" s="111" t="s">
        <v>106</v>
      </c>
      <c r="D4" s="103" t="s">
        <v>39</v>
      </c>
      <c r="E4" s="100" t="s">
        <v>99</v>
      </c>
      <c r="F4" s="98" t="s">
        <v>40</v>
      </c>
      <c r="G4" s="107" t="s">
        <v>99</v>
      </c>
      <c r="H4" s="98" t="s">
        <v>41</v>
      </c>
      <c r="I4" s="99" t="s">
        <v>99</v>
      </c>
    </row>
    <row r="5" spans="2:13" x14ac:dyDescent="0.25">
      <c r="B5" s="94">
        <v>0</v>
      </c>
      <c r="C5" s="112">
        <v>0</v>
      </c>
      <c r="D5" s="104"/>
      <c r="E5" s="101"/>
      <c r="F5" s="108"/>
      <c r="G5" s="95"/>
      <c r="H5" s="108"/>
      <c r="I5" s="95"/>
      <c r="K5" s="52"/>
      <c r="L5" s="53"/>
      <c r="M5" s="53"/>
    </row>
    <row r="6" spans="2:13" x14ac:dyDescent="0.25">
      <c r="B6" s="94">
        <v>0</v>
      </c>
      <c r="C6" s="112">
        <v>0</v>
      </c>
      <c r="D6" s="104"/>
      <c r="E6" s="101"/>
      <c r="F6" s="108"/>
      <c r="G6" s="95"/>
      <c r="H6" s="108"/>
      <c r="I6" s="95"/>
      <c r="K6" s="52"/>
      <c r="L6" s="53"/>
      <c r="M6" s="53"/>
    </row>
    <row r="7" spans="2:13" x14ac:dyDescent="0.25">
      <c r="B7" s="94">
        <v>0</v>
      </c>
      <c r="C7" s="112">
        <v>0</v>
      </c>
      <c r="D7" s="104"/>
      <c r="E7" s="101"/>
      <c r="F7" s="108"/>
      <c r="G7" s="95"/>
      <c r="H7" s="108"/>
      <c r="I7" s="95"/>
      <c r="K7" s="52"/>
      <c r="L7" s="53"/>
      <c r="M7" s="53"/>
    </row>
    <row r="8" spans="2:13" x14ac:dyDescent="0.25">
      <c r="B8" s="94">
        <v>0</v>
      </c>
      <c r="C8" s="112">
        <v>0</v>
      </c>
      <c r="D8" s="104"/>
      <c r="E8" s="101"/>
      <c r="F8" s="108"/>
      <c r="G8" s="95"/>
      <c r="H8" s="108"/>
      <c r="I8" s="95"/>
      <c r="K8" s="52"/>
      <c r="L8" s="53"/>
      <c r="M8" s="53"/>
    </row>
    <row r="9" spans="2:13" x14ac:dyDescent="0.25">
      <c r="B9" s="94">
        <v>0</v>
      </c>
      <c r="C9" s="112">
        <v>0</v>
      </c>
      <c r="D9" s="104"/>
      <c r="E9" s="101"/>
      <c r="F9" s="108"/>
      <c r="G9" s="95"/>
      <c r="H9" s="108"/>
      <c r="I9" s="95"/>
      <c r="K9" s="52"/>
      <c r="L9" s="53"/>
      <c r="M9" s="53"/>
    </row>
    <row r="10" spans="2:13" x14ac:dyDescent="0.25">
      <c r="B10" s="94">
        <v>0</v>
      </c>
      <c r="C10" s="112">
        <v>0</v>
      </c>
      <c r="D10" s="104"/>
      <c r="E10" s="101"/>
      <c r="F10" s="108"/>
      <c r="G10" s="95"/>
      <c r="H10" s="108"/>
      <c r="I10" s="95"/>
      <c r="K10" s="52"/>
      <c r="L10" s="53"/>
      <c r="M10" s="53"/>
    </row>
    <row r="11" spans="2:13" x14ac:dyDescent="0.25">
      <c r="B11" s="94">
        <v>0</v>
      </c>
      <c r="C11" s="112">
        <v>0</v>
      </c>
      <c r="D11" s="104"/>
      <c r="E11" s="101"/>
      <c r="F11" s="108"/>
      <c r="G11" s="95"/>
      <c r="H11" s="108"/>
      <c r="I11" s="95"/>
      <c r="K11" s="52"/>
      <c r="L11" s="53"/>
      <c r="M11" s="53"/>
    </row>
    <row r="12" spans="2:13" x14ac:dyDescent="0.25">
      <c r="B12" s="94">
        <v>0</v>
      </c>
      <c r="C12" s="112">
        <v>0</v>
      </c>
      <c r="D12" s="104"/>
      <c r="E12" s="101"/>
      <c r="F12" s="108"/>
      <c r="G12" s="95"/>
      <c r="H12" s="108"/>
      <c r="I12" s="95"/>
      <c r="K12" s="52"/>
      <c r="L12" s="53"/>
      <c r="M12" s="53"/>
    </row>
    <row r="13" spans="2:13" x14ac:dyDescent="0.25">
      <c r="B13" s="94">
        <v>0</v>
      </c>
      <c r="C13" s="112">
        <v>0</v>
      </c>
      <c r="D13" s="105"/>
      <c r="E13" s="101"/>
      <c r="F13" s="109"/>
      <c r="G13" s="95"/>
      <c r="H13" s="109"/>
      <c r="I13" s="95"/>
    </row>
    <row r="14" spans="2:13" ht="15.75" thickBot="1" x14ac:dyDescent="0.3">
      <c r="B14" s="96">
        <v>0</v>
      </c>
      <c r="C14" s="113">
        <v>0</v>
      </c>
      <c r="D14" s="106"/>
      <c r="E14" s="102"/>
      <c r="F14" s="110"/>
      <c r="G14" s="97"/>
      <c r="H14" s="110"/>
      <c r="I14" s="97"/>
    </row>
    <row r="15" spans="2:13" x14ac:dyDescent="0.25">
      <c r="B15" s="51"/>
    </row>
    <row r="17" spans="2:9" x14ac:dyDescent="0.25">
      <c r="B17" s="117" t="s">
        <v>42</v>
      </c>
      <c r="C17" s="117"/>
      <c r="D17" s="117"/>
      <c r="E17" s="117"/>
      <c r="F17" s="117"/>
      <c r="G17" s="117"/>
      <c r="H17" s="117"/>
      <c r="I17" s="117"/>
    </row>
    <row r="19" spans="2:9" x14ac:dyDescent="0.25">
      <c r="B19" s="56" t="s">
        <v>113</v>
      </c>
    </row>
    <row r="20" spans="2:9" x14ac:dyDescent="0.25">
      <c r="E20" s="78"/>
      <c r="G20" s="120" t="s">
        <v>119</v>
      </c>
      <c r="H20" s="120"/>
      <c r="I20" s="120"/>
    </row>
    <row r="22" spans="2:9" x14ac:dyDescent="0.25">
      <c r="B22" s="56" t="s">
        <v>126</v>
      </c>
    </row>
    <row r="23" spans="2:9" ht="15" customHeight="1" x14ac:dyDescent="0.25">
      <c r="C23" s="55" t="s">
        <v>43</v>
      </c>
      <c r="E23" s="79">
        <v>7</v>
      </c>
      <c r="G23" s="119" t="s">
        <v>120</v>
      </c>
      <c r="H23" s="119"/>
      <c r="I23" s="119"/>
    </row>
    <row r="24" spans="2:9" x14ac:dyDescent="0.25">
      <c r="C24" s="55" t="s">
        <v>44</v>
      </c>
      <c r="E24" s="79">
        <v>7</v>
      </c>
      <c r="G24" s="119"/>
      <c r="H24" s="119"/>
      <c r="I24" s="119"/>
    </row>
    <row r="25" spans="2:9" x14ac:dyDescent="0.25">
      <c r="C25" s="55" t="s">
        <v>45</v>
      </c>
      <c r="E25" s="79">
        <v>7</v>
      </c>
      <c r="G25" s="119"/>
      <c r="H25" s="119"/>
      <c r="I25" s="119"/>
    </row>
    <row r="26" spans="2:9" x14ac:dyDescent="0.25">
      <c r="C26" s="55" t="s">
        <v>46</v>
      </c>
      <c r="E26" s="79">
        <v>7</v>
      </c>
      <c r="G26" s="119"/>
      <c r="H26" s="119"/>
      <c r="I26" s="119"/>
    </row>
    <row r="27" spans="2:9" x14ac:dyDescent="0.25">
      <c r="C27" s="55" t="s">
        <v>47</v>
      </c>
      <c r="E27" s="79">
        <v>7</v>
      </c>
      <c r="G27" s="119"/>
      <c r="H27" s="119"/>
      <c r="I27" s="119"/>
    </row>
    <row r="29" spans="2:9" x14ac:dyDescent="0.25">
      <c r="B29" s="56" t="s">
        <v>48</v>
      </c>
    </row>
    <row r="30" spans="2:9" x14ac:dyDescent="0.25">
      <c r="E30" s="80">
        <v>6.9444444444444441E-3</v>
      </c>
      <c r="G30" s="114" t="s">
        <v>122</v>
      </c>
      <c r="H30" s="114"/>
      <c r="I30" s="114"/>
    </row>
    <row r="31" spans="2:9" x14ac:dyDescent="0.25">
      <c r="H31" s="83"/>
    </row>
    <row r="32" spans="2:9" x14ac:dyDescent="0.25">
      <c r="B32" s="57" t="s">
        <v>100</v>
      </c>
      <c r="C32" s="58"/>
      <c r="D32" s="58"/>
      <c r="E32" s="81"/>
      <c r="F32" s="58"/>
      <c r="H32" s="83"/>
    </row>
    <row r="33" spans="2:9" ht="45.75" customHeight="1" x14ac:dyDescent="0.25">
      <c r="B33" s="58"/>
      <c r="C33" s="58"/>
      <c r="D33" s="58"/>
      <c r="E33" s="87">
        <v>2</v>
      </c>
      <c r="F33" s="58"/>
      <c r="G33" s="118" t="s">
        <v>121</v>
      </c>
      <c r="H33" s="118"/>
      <c r="I33" s="118"/>
    </row>
    <row r="34" spans="2:9" x14ac:dyDescent="0.25">
      <c r="B34" s="58"/>
      <c r="C34" s="58"/>
      <c r="D34" s="58"/>
      <c r="E34" s="81"/>
      <c r="F34" s="58"/>
      <c r="H34" s="83"/>
    </row>
    <row r="35" spans="2:9" x14ac:dyDescent="0.25">
      <c r="B35" s="57" t="s">
        <v>50</v>
      </c>
      <c r="C35" s="58"/>
      <c r="D35" s="58"/>
      <c r="E35" s="81"/>
      <c r="F35" s="58"/>
      <c r="G35" s="84"/>
      <c r="H35" s="83"/>
    </row>
    <row r="36" spans="2:9" x14ac:dyDescent="0.25">
      <c r="B36" s="58"/>
      <c r="C36" s="58"/>
      <c r="D36" s="58"/>
      <c r="E36" s="82">
        <v>1.3888888888888888E-2</v>
      </c>
      <c r="F36" s="58"/>
      <c r="G36" s="114" t="s">
        <v>122</v>
      </c>
      <c r="H36" s="114"/>
      <c r="I36" s="114"/>
    </row>
    <row r="37" spans="2:9" x14ac:dyDescent="0.25">
      <c r="B37" s="58"/>
      <c r="C37" s="58"/>
      <c r="D37" s="58"/>
      <c r="E37" s="81"/>
      <c r="F37" s="58"/>
      <c r="G37" s="84"/>
      <c r="H37" s="83"/>
    </row>
    <row r="38" spans="2:9" x14ac:dyDescent="0.25">
      <c r="B38" s="57" t="s">
        <v>49</v>
      </c>
      <c r="C38" s="58"/>
      <c r="D38" s="58"/>
      <c r="E38" s="81"/>
      <c r="F38" s="58"/>
      <c r="G38" s="84"/>
      <c r="H38" s="83"/>
    </row>
    <row r="39" spans="2:9" ht="27" customHeight="1" x14ac:dyDescent="0.25">
      <c r="B39" s="85" t="s">
        <v>98</v>
      </c>
      <c r="C39" s="86"/>
      <c r="D39" s="86"/>
      <c r="E39" s="87"/>
      <c r="F39" s="86"/>
      <c r="G39" s="115" t="s">
        <v>123</v>
      </c>
      <c r="H39" s="116"/>
      <c r="I39" s="116"/>
    </row>
    <row r="40" spans="2:9" ht="27" customHeight="1" x14ac:dyDescent="0.25">
      <c r="B40" s="85" t="s">
        <v>101</v>
      </c>
      <c r="C40" s="86"/>
      <c r="D40" s="86"/>
      <c r="E40" s="87" t="s">
        <v>149</v>
      </c>
      <c r="F40" s="86"/>
      <c r="G40" s="116"/>
      <c r="H40" s="116"/>
      <c r="I40" s="116"/>
    </row>
    <row r="41" spans="2:9" x14ac:dyDescent="0.25">
      <c r="H41" s="83"/>
    </row>
    <row r="42" spans="2:9" x14ac:dyDescent="0.25">
      <c r="H42" s="83"/>
    </row>
    <row r="43" spans="2:9" x14ac:dyDescent="0.25">
      <c r="H43" s="83"/>
    </row>
    <row r="44" spans="2:9" x14ac:dyDescent="0.25">
      <c r="H44" s="83"/>
    </row>
    <row r="45" spans="2:9" x14ac:dyDescent="0.25">
      <c r="H45" s="83"/>
    </row>
    <row r="46" spans="2:9" x14ac:dyDescent="0.25">
      <c r="H46" s="83"/>
    </row>
    <row r="47" spans="2:9" x14ac:dyDescent="0.25">
      <c r="H47" s="83"/>
    </row>
  </sheetData>
  <sheetProtection algorithmName="SHA-512" hashValue="LGrO1pstAWpgaBRJxJRgNjH/pFa/OY8GRJNX/TMccHHGOut+pvZgP/G6fxccLSV1HypqvlPhYh2McNpRjGxuig==" saltValue="s4M+3DFib75QpBGH1wRYUQ==" spinCount="100000" sheet="1" objects="1" scenarios="1" formatColumns="0" formatRows="0"/>
  <mergeCells count="8">
    <mergeCell ref="G36:I36"/>
    <mergeCell ref="G39:I40"/>
    <mergeCell ref="B3:I3"/>
    <mergeCell ref="B17:I17"/>
    <mergeCell ref="G33:I33"/>
    <mergeCell ref="G23:I27"/>
    <mergeCell ref="G20:I20"/>
    <mergeCell ref="G30:I30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4"/>
  <sheetViews>
    <sheetView showGridLines="0" tabSelected="1" zoomScale="70" zoomScaleNormal="70" zoomScaleSheetLayoutView="85" zoomScalePageLayoutView="55" workbookViewId="0">
      <selection activeCell="T17" sqref="T17"/>
    </sheetView>
  </sheetViews>
  <sheetFormatPr baseColWidth="10" defaultRowHeight="15" x14ac:dyDescent="0.25"/>
  <cols>
    <col min="1" max="1" width="8.42578125" style="23" bestFit="1" customWidth="1"/>
    <col min="2" max="2" width="7" style="23" bestFit="1" customWidth="1"/>
    <col min="3" max="4" width="8.42578125" style="24" bestFit="1" customWidth="1"/>
    <col min="5" max="5" width="7" style="24" bestFit="1" customWidth="1"/>
    <col min="6" max="6" width="8.28515625" style="24" customWidth="1"/>
    <col min="7" max="7" width="8.28515625" style="24" bestFit="1" customWidth="1"/>
    <col min="8" max="8" width="8.42578125" style="24" hidden="1" customWidth="1"/>
    <col min="9" max="9" width="6.5703125" style="24" hidden="1" customWidth="1"/>
    <col min="10" max="10" width="5.42578125" style="26" bestFit="1" customWidth="1"/>
    <col min="11" max="11" width="13" style="26" customWidth="1"/>
    <col min="12" max="12" width="15.85546875" style="26" customWidth="1"/>
    <col min="13" max="15" width="5.42578125" style="26" bestFit="1" customWidth="1"/>
    <col min="16" max="16" width="7.85546875" style="23" bestFit="1" customWidth="1"/>
    <col min="17" max="17" width="8.28515625" style="23" hidden="1" customWidth="1"/>
    <col min="18" max="18" width="6.140625" style="23" hidden="1" customWidth="1"/>
    <col min="19" max="19" width="5.42578125" style="26" bestFit="1" customWidth="1"/>
    <col min="20" max="20" width="13" style="26" bestFit="1" customWidth="1"/>
    <col min="21" max="21" width="16" style="26" customWidth="1"/>
    <col min="22" max="24" width="5.42578125" style="26" bestFit="1" customWidth="1"/>
    <col min="25" max="25" width="7.85546875" style="23" bestFit="1" customWidth="1"/>
    <col min="26" max="26" width="8.28515625" style="23" hidden="1" customWidth="1"/>
    <col min="27" max="27" width="6.5703125" style="23" hidden="1" customWidth="1"/>
    <col min="28" max="28" width="5.42578125" style="26" bestFit="1" customWidth="1"/>
    <col min="29" max="29" width="13" style="26" customWidth="1"/>
    <col min="30" max="30" width="16" style="26" customWidth="1"/>
    <col min="31" max="33" width="5.42578125" style="26" bestFit="1" customWidth="1"/>
    <col min="34" max="34" width="7.85546875" style="23" bestFit="1" customWidth="1"/>
    <col min="35" max="16384" width="11.42578125" style="28"/>
  </cols>
  <sheetData>
    <row r="1" spans="1:34" ht="18.75" x14ac:dyDescent="0.3">
      <c r="A1" s="59" t="s">
        <v>37</v>
      </c>
      <c r="B1" s="38"/>
      <c r="C1" s="38"/>
      <c r="D1" s="38"/>
      <c r="E1" s="38"/>
      <c r="F1" s="38"/>
      <c r="J1" s="25"/>
      <c r="L1" s="27"/>
      <c r="U1" s="27"/>
      <c r="V1" s="27"/>
      <c r="W1" s="27"/>
      <c r="X1" s="27"/>
      <c r="AD1" s="27"/>
    </row>
    <row r="2" spans="1:34" ht="18.75" x14ac:dyDescent="0.3">
      <c r="J2" s="92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</row>
    <row r="3" spans="1:34" ht="33.75" customHeight="1" x14ac:dyDescent="0.25">
      <c r="A3" s="60" t="s">
        <v>31</v>
      </c>
      <c r="B3" s="61" t="s">
        <v>31</v>
      </c>
      <c r="C3" s="62" t="s">
        <v>31</v>
      </c>
      <c r="D3" s="63" t="s">
        <v>33</v>
      </c>
      <c r="E3" s="64" t="s">
        <v>33</v>
      </c>
      <c r="F3" s="65" t="s">
        <v>33</v>
      </c>
      <c r="G3" s="66" t="s">
        <v>104</v>
      </c>
      <c r="H3" s="67"/>
      <c r="I3" s="67"/>
      <c r="J3" s="121" t="s">
        <v>7</v>
      </c>
      <c r="K3" s="125" t="s">
        <v>2</v>
      </c>
      <c r="L3" s="125" t="s">
        <v>3</v>
      </c>
      <c r="M3" s="123" t="s">
        <v>4</v>
      </c>
      <c r="N3" s="123" t="s">
        <v>103</v>
      </c>
      <c r="O3" s="123" t="s">
        <v>5</v>
      </c>
      <c r="P3" s="127" t="s">
        <v>6</v>
      </c>
      <c r="Q3" s="67"/>
      <c r="R3" s="67"/>
      <c r="S3" s="121" t="s">
        <v>7</v>
      </c>
      <c r="T3" s="125" t="s">
        <v>2</v>
      </c>
      <c r="U3" s="125" t="s">
        <v>3</v>
      </c>
      <c r="V3" s="123" t="s">
        <v>4</v>
      </c>
      <c r="W3" s="123" t="s">
        <v>103</v>
      </c>
      <c r="X3" s="123" t="s">
        <v>5</v>
      </c>
      <c r="Y3" s="127" t="s">
        <v>6</v>
      </c>
      <c r="Z3" s="67"/>
      <c r="AA3" s="67"/>
      <c r="AB3" s="121" t="s">
        <v>7</v>
      </c>
      <c r="AC3" s="125" t="s">
        <v>2</v>
      </c>
      <c r="AD3" s="125" t="s">
        <v>3</v>
      </c>
      <c r="AE3" s="123" t="s">
        <v>4</v>
      </c>
      <c r="AF3" s="123" t="s">
        <v>103</v>
      </c>
      <c r="AG3" s="123" t="s">
        <v>5</v>
      </c>
      <c r="AH3" s="127" t="s">
        <v>6</v>
      </c>
    </row>
    <row r="4" spans="1:34" s="29" customFormat="1" ht="33.75" customHeight="1" thickBot="1" x14ac:dyDescent="0.3">
      <c r="A4" s="68" t="s">
        <v>32</v>
      </c>
      <c r="B4" s="69" t="s">
        <v>6</v>
      </c>
      <c r="C4" s="70" t="s">
        <v>1</v>
      </c>
      <c r="D4" s="71" t="s">
        <v>32</v>
      </c>
      <c r="E4" s="72" t="s">
        <v>6</v>
      </c>
      <c r="F4" s="73" t="s">
        <v>1</v>
      </c>
      <c r="G4" s="74" t="s">
        <v>34</v>
      </c>
      <c r="H4" s="75" t="s">
        <v>0</v>
      </c>
      <c r="I4" s="76" t="s">
        <v>1</v>
      </c>
      <c r="J4" s="122"/>
      <c r="K4" s="126"/>
      <c r="L4" s="126"/>
      <c r="M4" s="124"/>
      <c r="N4" s="124"/>
      <c r="O4" s="124"/>
      <c r="P4" s="128"/>
      <c r="Q4" s="76" t="s">
        <v>0</v>
      </c>
      <c r="R4" s="77" t="s">
        <v>1</v>
      </c>
      <c r="S4" s="122"/>
      <c r="T4" s="126"/>
      <c r="U4" s="126"/>
      <c r="V4" s="124"/>
      <c r="W4" s="124"/>
      <c r="X4" s="124"/>
      <c r="Y4" s="128"/>
      <c r="Z4" s="76" t="s">
        <v>0</v>
      </c>
      <c r="AA4" s="77" t="s">
        <v>1</v>
      </c>
      <c r="AB4" s="122"/>
      <c r="AC4" s="126"/>
      <c r="AD4" s="126"/>
      <c r="AE4" s="124"/>
      <c r="AF4" s="124"/>
      <c r="AG4" s="124"/>
      <c r="AH4" s="128"/>
    </row>
    <row r="5" spans="1:34" x14ac:dyDescent="0.25">
      <c r="A5" s="42">
        <f>Allgemeines!$B$5</f>
        <v>0</v>
      </c>
      <c r="B5" s="43">
        <f>Allgemeines!$C$5-Allgemeines!$B$5</f>
        <v>0</v>
      </c>
      <c r="C5" s="44"/>
      <c r="D5" s="36">
        <f>$A$5</f>
        <v>0</v>
      </c>
      <c r="E5" s="11">
        <f t="shared" ref="E5:E36" si="0">IF(AND(P5&gt;=Y5,P5&gt;=AH5),P5,IF(AND(Y5&gt;=P5,Y5&gt;=AH5),Y5,IF(AND(AH5&gt;=P5,AH5&gt;=Y5),AH5,Y5)))</f>
        <v>0</v>
      </c>
      <c r="F5" s="30">
        <f>D5+E5</f>
        <v>0</v>
      </c>
      <c r="G5" s="39"/>
      <c r="H5" s="12">
        <v>0.41666666666666669</v>
      </c>
      <c r="I5" s="13">
        <f>H5+P5</f>
        <v>0.41666666666666669</v>
      </c>
      <c r="J5" s="34" t="str">
        <f>IF(Allgemeines!$E$20&gt;=1,IF(K5="","",1),"")</f>
        <v/>
      </c>
      <c r="K5" s="15" t="str">
        <f>IF(Allgemeines!$E$20&gt;=1,Allgemeines!$D$5,"")</f>
        <v/>
      </c>
      <c r="L5" s="15" t="str">
        <f>IF(Allgemeines!$E$20&gt;=1,1,"")</f>
        <v/>
      </c>
      <c r="M5" s="15" t="b">
        <f>IF(Allgemeines!$E$20&gt;=1,Allgemeines!$E$5)</f>
        <v>0</v>
      </c>
      <c r="N5" s="15" t="str">
        <f>IF(Allgemeines!$E$20&gt;=1,IF(K5="Pause","",IF(M5=0,,ROUNDUP(M5/IFERROR(IF(MATCH(K5,Hilfstabelle!$A$1:$A$71,0)&gt;=1,IF(MID(K5,LEN(K5)-4,1)="D",Allgemeines!$E$23,IF(MID(K5,LEN(K5)-4,1)="C",Allgemeines!$E$24,IF(MID(K5,LEN(K5)-4,1)="B",Allgemeines!$E$25,IF(MID(K5,LEN(K5)-4,1)="A",Allgemeines!$E$26,IF(MID(K5,LEN(K5)-4,1)="S",Allgemeines!$E$27,)))))),""),0))),"")</f>
        <v/>
      </c>
      <c r="O5" s="15" t="b">
        <f>IF(Allgemeines!$E$20&gt;=1,IFERROR(IF(MATCH(K5,Hilfstabelle!$A$1:$A$71,0)&gt;=1,IF(MID(K5,LEN(K5)-4,1)="D",3,IF(MID(K5,LEN(K5)-4,1)="C",4,5))),""))</f>
        <v>0</v>
      </c>
      <c r="P5" s="16">
        <f>IFERROR(IF(Allgemeines!$E$20&gt;=1,IF(K5="",0,IF(K5="Pause",Allgemeines!$E$30,IF(IFERROR(FIND("Finale",L5,1),0)&gt;0,TIME(0,20,0),TIMEVALUE(CONCATENATE("00:",O5*N5*Allgemeines!$E$33))))),0),0)</f>
        <v>0</v>
      </c>
      <c r="Q5" s="12">
        <v>0.41666666666666669</v>
      </c>
      <c r="R5" s="13">
        <f>Q5+Y5</f>
        <v>0.41666666666666669</v>
      </c>
      <c r="S5" s="14" t="str">
        <f>IF(Allgemeines!$E$20&gt;=2,IF(T5="","",2),"")</f>
        <v/>
      </c>
      <c r="T5" s="15" t="str">
        <f>IF(Allgemeines!$E$20&gt;=2,Allgemeines!$F$5,"")</f>
        <v/>
      </c>
      <c r="U5" s="15" t="str">
        <f>IF(Allgemeines!$E$20&gt;=2,1,"")</f>
        <v/>
      </c>
      <c r="V5" s="15" t="str">
        <f>IF(Allgemeines!$E$20&gt;=2,Allgemeines!$G$5,"")</f>
        <v/>
      </c>
      <c r="W5" s="15" t="str">
        <f>IF(Allgemeines!$E$20&gt;=2,IF(T5="Pause","",IF(V5=0,,ROUNDUP(V5/IFERROR(IF(MATCH(T5,Hilfstabelle!$A$1:$A$71,0)&gt;=1,IF(MID(T5,LEN(T5)-4,1)="D",Allgemeines!$E$23,IF(MID(T5,LEN(T5)-4,1)="C",Allgemeines!$E$24,IF(MID(T5,LEN(T5)-4,1)="B",Allgemeines!$E$25,IF(MID(T5,LEN(T5)-4,1)="A",Allgemeines!$E$26,IF(MID(T5,LEN(T5)-4,1)="S",Allgemeines!$E$27,)))))),""),0))),"")</f>
        <v/>
      </c>
      <c r="X5" s="15" t="str">
        <f>IF(Allgemeines!$E$20&gt;=2,IFERROR(IF(MATCH(T5,Hilfstabelle!$A$1:$A$71,0)&gt;=1,IF(MID(T5,LEN(T5)-4,1)="D",3,IF(MID(T5,LEN(T5)-4,1)="C",4,5))),""),"")</f>
        <v/>
      </c>
      <c r="Y5" s="16">
        <f>IFERROR(IF(Allgemeines!$E$20&gt;=1,IF(T5="",0,IF(T5="Pause",Allgemeines!$E$30,IF(IFERROR(FIND("Finale",U5,1),0)&gt;0,TIME(0,20,0),TIMEVALUE(CONCATENATE("00:",X5*W5*Allgemeines!$E$33))))),0),0)</f>
        <v>0</v>
      </c>
      <c r="Z5" s="12">
        <v>0.41666666666666669</v>
      </c>
      <c r="AA5" s="13">
        <f>Z5+AH5</f>
        <v>0.41666666666666669</v>
      </c>
      <c r="AB5" s="14" t="str">
        <f>IF(Allgemeines!$E$20&gt;=3,IF(AC5="","",3),"")</f>
        <v/>
      </c>
      <c r="AC5" s="15" t="str">
        <f>IF(Allgemeines!$E$20&gt;=3,Allgemeines!$H$5,"")</f>
        <v/>
      </c>
      <c r="AD5" s="15" t="str">
        <f>IF(Allgemeines!$E$20&gt;=3,1,"")</f>
        <v/>
      </c>
      <c r="AE5" s="15" t="str">
        <f>IF(Allgemeines!$E$20&gt;=3,Allgemeines!$I$5,"")</f>
        <v/>
      </c>
      <c r="AF5" s="15" t="str">
        <f>IF(Allgemeines!$E$20&gt;=3,IF(AC5="Pause","",IF(AE5=0,,ROUNDUP(AE5/IFERROR(IF(MATCH(AC5,Hilfstabelle!$A$1:$A$71,0)&gt;=1,IF(MID(AC5,LEN(AC5)-4,1)="D",Allgemeines!$E$23,IF(MID(AC5,LEN(AC5)-4,1)="C",Allgemeines!$E$24,IF(MID(AC5,LEN(AC5)-4,1)="B",Allgemeines!$E$25,IF(MID(AC5,LEN(AC5)-4,1)="A",Allgemeines!$E$26,IF(MID(AC5,LEN(AC5)-4,1)="S",Allgemeines!$E$27,)))))),""),0))),"")</f>
        <v/>
      </c>
      <c r="AG5" s="15" t="str">
        <f>IF(Allgemeines!$E$20&gt;=3,IFERROR(IF(MATCH(AC5,Hilfstabelle!$A$1:$A$71,0)&gt;=1,IF(MID(AC5,LEN(AC5)-4,1)="D",3,IF(MID(AC5,LEN(AC5)-4,1)="C",4,5))),""),"")</f>
        <v/>
      </c>
      <c r="AH5" s="16">
        <f>IFERROR(IF(Allgemeines!$E$20&gt;=1,IF(AC5="",0,IF(AC5="Pause",Allgemeines!$E$30,IF(IFERROR(FIND("Finale",AD5,1),0)&gt;0,TIME(0,20,0),TIMEVALUE(CONCATENATE("00:",AG5*AF5*Allgemeines!$E$33))))),0),0)</f>
        <v>0</v>
      </c>
    </row>
    <row r="6" spans="1:34" x14ac:dyDescent="0.25">
      <c r="A6" s="45"/>
      <c r="B6" s="46"/>
      <c r="C6" s="44"/>
      <c r="D6" s="31">
        <f>F5</f>
        <v>0</v>
      </c>
      <c r="E6" s="10">
        <f t="shared" si="0"/>
        <v>0</v>
      </c>
      <c r="F6" s="32">
        <f t="shared" ref="F6:F10" si="1">D6+E6</f>
        <v>0</v>
      </c>
      <c r="G6" s="40"/>
      <c r="H6" s="12">
        <f>I5</f>
        <v>0.41666666666666669</v>
      </c>
      <c r="I6" s="13">
        <f>H6+P6</f>
        <v>0.41666666666666669</v>
      </c>
      <c r="J6" s="34"/>
      <c r="K6" s="15" t="s">
        <v>10</v>
      </c>
      <c r="L6" s="15"/>
      <c r="M6" s="15"/>
      <c r="N6" s="15" t="b">
        <f>IF(Allgemeines!$E$20&gt;=1,IF(K6="Pause","",IF(M6=0,,ROUNDUP(M6/IFERROR(IF(MATCH(K6,Hilfstabelle!$A$1:$A$71,0)&gt;=1,IF(MID(K6,LEN(K6)-4,1)="D",Allgemeines!$E$23,IF(MID(K6,LEN(K6)-4,1)="C",Allgemeines!$E$24,IF(MID(K6,LEN(K6)-4,1)="B",Allgemeines!$E$25,IF(MID(K6,LEN(K6)-4,1)="A",Allgemeines!$E$26,IF(MID(K6,LEN(K6)-4,1)="S",Allgemeines!$E$27,)))))),""),0))))</f>
        <v>0</v>
      </c>
      <c r="O6" s="15" t="b">
        <f>IF(Allgemeines!$E$20&gt;=1,IFERROR(IF(MATCH(K6,Hilfstabelle!$A$1:$A$71,0)&gt;=1,IF(MID(K6,LEN(K6)-4,1)="D",3,IF(MID(K6,LEN(K6)-4,1)="C",4,5))),""))</f>
        <v>0</v>
      </c>
      <c r="P6" s="16">
        <f>IFERROR(IF(Allgemeines!$E$20&gt;=1,IF(P5=0,0,IF(K6="",0,IF(K6="Pause",Allgemeines!$E$30,IF(IFERROR(FIND("Finale",L6,1),0)&gt;0,TIME(0,20,0),TIMEVALUE(CONCATENATE("00:",O6*N6*Allgemeines!$E$33)))))),0),0)</f>
        <v>0</v>
      </c>
      <c r="Q6" s="12">
        <f>R5</f>
        <v>0.41666666666666669</v>
      </c>
      <c r="R6" s="13">
        <f>Q6+Y6</f>
        <v>0.41666666666666669</v>
      </c>
      <c r="S6" s="14"/>
      <c r="T6" s="15" t="str">
        <f>IF(Allgemeines!$E$20&gt;=2,"Pause","")</f>
        <v/>
      </c>
      <c r="U6" s="15"/>
      <c r="V6" s="15"/>
      <c r="W6" s="15" t="b">
        <f>IF(Allgemeines!$E$20&gt;=2,IF(T6="Pause","",IF(V6=0,,ROUNDUP(V6/IFERROR(IF(MATCH(T6,Hilfstabelle!$A$1:$A$71,0)&gt;=1,IF(MID(T6,LEN(T6)-4,1)="D",Allgemeines!$E$23,IF(MID(T6,LEN(T6)-4,1)="C",Allgemeines!$E$24,IF(MID(T6,LEN(T6)-4,1)="B",Allgemeines!$E$25,IF(MID(T6,LEN(T6)-4,1)="A",Allgemeines!$E$26,IF(MID(T6,LEN(T6)-4,1)="S",Allgemeines!$E$27,)))))),""),0))))</f>
        <v>0</v>
      </c>
      <c r="X6" s="15" t="b">
        <f>IF(Allgemeines!$E$20&gt;=2,IFERROR(IF(MATCH(T6,Hilfstabelle!$A$1:$A$71,0)&gt;=1,IF(MID(T6,LEN(T6)-4,1)="D",3,IF(MID(T6,LEN(T6)-4,1)="C",4,5))),""))</f>
        <v>0</v>
      </c>
      <c r="Y6" s="16">
        <f>IFERROR(IF(Allgemeines!$E$20&gt;=1,IF(Y5=0,0,IF(T6="",0,IF(T6="Pause",Allgemeines!$E$30,IF(IFERROR(FIND("Finale",U6,1),0)&gt;0,TIME(0,20,0),TIMEVALUE(CONCATENATE("00:",X6*W6*Allgemeines!$E$33)))))),0),0)</f>
        <v>0</v>
      </c>
      <c r="Z6" s="12">
        <f>AA5</f>
        <v>0.41666666666666669</v>
      </c>
      <c r="AA6" s="13">
        <f>Z6+AH6</f>
        <v>0.41666666666666669</v>
      </c>
      <c r="AB6" s="14"/>
      <c r="AC6" s="15" t="str">
        <f>IF(Allgemeines!$E$20&gt;=3,"Pause","")</f>
        <v/>
      </c>
      <c r="AD6" s="15"/>
      <c r="AE6" s="15"/>
      <c r="AF6" s="15" t="b">
        <f>IF(Allgemeines!$E$20&gt;=3,IF(AC6="Pause","",IF(AE6=0,,ROUNDUP(AE6/IFERROR(IF(MATCH(AC6,Hilfstabelle!$A$1:$A$71,0)&gt;=1,IF(MID(AC6,LEN(AC6)-4,1)="D",Allgemeines!$E$23,IF(MID(AC6,LEN(AC6)-4,1)="C",Allgemeines!$E$24,IF(MID(AC6,LEN(AC6)-4,1)="B",Allgemeines!$E$25,IF(MID(AC6,LEN(AC6)-4,1)="A",Allgemeines!$E$26,IF(MID(AC6,LEN(AC6)-4,1)="S",Allgemeines!$E$27,)))))),""),0))))</f>
        <v>0</v>
      </c>
      <c r="AG6" s="15" t="b">
        <f>IF(Allgemeines!$E$20&gt;=3,IFERROR(IF(MATCH(AC6,Hilfstabelle!$A$1:$A$71,0)&gt;=1,IF(MID(AC6,LEN(AC6)-4,1)="D",3,IF(MID(AC6,LEN(AC6)-4,1)="C",4,5))),""))</f>
        <v>0</v>
      </c>
      <c r="AH6" s="16">
        <f>IFERROR(IF(Allgemeines!$E$20&gt;=1,IF(AH5=0,0,IF(AC6="",0,IF(AC6="Pause",Allgemeines!$E$30,IF(IFERROR(FIND("Finale",AD6,1),0)&gt;0,TIME(0,20,0),TIMEVALUE(CONCATENATE("00:",AG6*AF6*Allgemeines!$E$33)))))),0),0)</f>
        <v>0</v>
      </c>
    </row>
    <row r="7" spans="1:34" x14ac:dyDescent="0.25">
      <c r="A7" s="45"/>
      <c r="B7" s="43"/>
      <c r="C7" s="47"/>
      <c r="D7" s="31">
        <f t="shared" ref="D7:D11" si="2">F6</f>
        <v>0</v>
      </c>
      <c r="E7" s="10" t="str">
        <f t="shared" si="0"/>
        <v>00:0</v>
      </c>
      <c r="F7" s="32">
        <f t="shared" si="1"/>
        <v>0</v>
      </c>
      <c r="G7" s="40"/>
      <c r="H7" s="12">
        <f t="shared" ref="H7:H12" si="3">I6</f>
        <v>0.41666666666666669</v>
      </c>
      <c r="I7" s="13">
        <f t="shared" ref="I7:I11" si="4">H7+P7</f>
        <v>0.41666666666666669</v>
      </c>
      <c r="J7" s="34" t="str">
        <f>IF(Allgemeines!$E$20&gt;=1,IF(K7="","",1),"")</f>
        <v/>
      </c>
      <c r="K7" s="15" t="str">
        <f>IF(Allgemeines!$E$20&gt;=1,Allgemeines!$D$5,"")</f>
        <v/>
      </c>
      <c r="L7" s="15">
        <v>2</v>
      </c>
      <c r="M7" s="15" t="b">
        <f>IF(Allgemeines!$E$20&gt;=1,IF(OR(ROUNDUP((M5/2)/6,0)*6=6,VLOOKUP(M5,Hilfstabelle!$F$2:$G$61,2,FALSE)&lt;=6,K7="Pause"),0,VLOOKUP(M5,Hilfstabelle!$F$2:$G$61,2,FALSE)))</f>
        <v>0</v>
      </c>
      <c r="N7" s="15" t="b">
        <f>IF(Allgemeines!$E$20&gt;=1,IF(K7="Pause","",IF(M7=0,,ROUNDUP(M7/IFERROR(IF(MATCH(K7,Hilfstabelle!$A$1:$A$71,0)&gt;=1,IF(MID(K7,LEN(K7)-4,1)="D",Allgemeines!$E$23,IF(MID(K7,LEN(K7)-4,1)="C",Allgemeines!$E$24,IF(MID(K7,LEN(K7)-4,1)="B",Allgemeines!$E$25,IF(MID(K7,LEN(K7)-4,1)="A",Allgemeines!$E$26,IF(MID(K7,LEN(K7)-4,1)="S",Allgemeines!$E$27,)))))),""),0))))</f>
        <v>0</v>
      </c>
      <c r="O7" s="15" t="b">
        <f>IF(Allgemeines!$E$20&gt;=1,IFERROR(IF(MATCH(K7,Hilfstabelle!$A$1:$A$71,0)&gt;=1,IF(MID(K7,LEN(K7)-4,1)="D",3,IF(MID(K7,LEN(K7)-4,1)="C",4,5))),""))</f>
        <v>0</v>
      </c>
      <c r="P7" s="16" t="str">
        <f>IFERROR(IF(AND(P6=0,IF(IFERROR(FIND("Finale",L7,1),FALSE)=1,FALSE)),0,IF(AND(K7&lt;&gt;"Pause",L7&lt;&gt;"Finale",M7&gt;1),CONCATENATE("00:",O7*N7*Allgemeines!$E$33),IF(AND(K7="Pause",L6=1,IFERROR(FIND("SE",L7,1),0)),Allgemeines!$E$36*N5,IF(IFERROR(FIND("Finale",L7,1),0)&gt;0,TIME(0,20,0)*N7,IF(AND(K7="Pause",P6&lt;&gt;0),Allgemeines!$E$30,TIME(0,0,0)))))),TIME(0,0,0))</f>
        <v>00:0</v>
      </c>
      <c r="Q7" s="12">
        <f t="shared" ref="Q7:Q70" si="5">R6</f>
        <v>0.41666666666666669</v>
      </c>
      <c r="R7" s="13">
        <f>Q7+Y7</f>
        <v>0.41666666666666669</v>
      </c>
      <c r="S7" s="14" t="b">
        <f>IF(Allgemeines!$E$20&gt;=2,IF(T7="","",2))</f>
        <v>0</v>
      </c>
      <c r="T7" s="15" t="str">
        <f>T5</f>
        <v/>
      </c>
      <c r="U7" s="15">
        <v>2</v>
      </c>
      <c r="V7" s="15" t="b">
        <f>IF(Allgemeines!$E$20&gt;=2,IF(OR(ROUNDUP((V5/2)/6,0)*6=6,VLOOKUP(V5,Hilfstabelle!$F$2:$G$61,2,FALSE)&lt;=6,T7="Pause"),0,VLOOKUP(V5,Hilfstabelle!$F$2:$G$61,2,FALSE)))</f>
        <v>0</v>
      </c>
      <c r="W7" s="15" t="b">
        <f>IF(Allgemeines!$E$20&gt;=2,IF(T7="Pause","",IF(V7=0,,ROUNDUP(V7/IFERROR(IF(MATCH(T7,Hilfstabelle!$A$1:$A$71,0)&gt;=1,IF(MID(T7,LEN(T7)-4,1)="D",Allgemeines!$E$23,IF(MID(T7,LEN(T7)-4,1)="C",Allgemeines!$E$24,IF(MID(T7,LEN(T7)-4,1)="B",Allgemeines!$E$25,IF(MID(T7,LEN(T7)-4,1)="A",Allgemeines!$E$26,IF(MID(T7,LEN(T7)-4,1)="S",Allgemeines!$E$27,)))))),""),0))))</f>
        <v>0</v>
      </c>
      <c r="X7" s="15" t="b">
        <f>IF(Allgemeines!$E$20&gt;=2,IFERROR(IF(MATCH(T7,Hilfstabelle!$A$1:$A$71,0)&gt;=1,IF(MID(T7,LEN(T7)-4,1)="D",3,IF(MID(T7,LEN(T7)-4,1)="C",4,5))),""))</f>
        <v>0</v>
      </c>
      <c r="Y7" s="16" t="str">
        <f>IFERROR(IF(AND(Y6=0,IF(IFERROR(FIND("Finale",U7,1),FALSE)=1,FALSE)),0,IF(AND(T7&lt;&gt;"Pause",U7&lt;&gt;"Finale",V7&gt;1),CONCATENATE("00:",X7*W7*Allgemeines!$E$33),IF(AND(T7="Pause",U6=1,IFERROR(FIND("SE",U7,1),0)),Allgemeines!$E$36*W5,IF(IFERROR(FIND("Finale",U7,1),0)&gt;0,TIME(0,20,0)*W7,IF(AND(T7="Pause",Y6&lt;&gt;0),Allgemeines!$E$30,TIME(0,0,0)))))),TIME(0,0,0))</f>
        <v>00:0</v>
      </c>
      <c r="Z7" s="12">
        <f t="shared" ref="Z7:Z70" si="6">AA6</f>
        <v>0.41666666666666669</v>
      </c>
      <c r="AA7" s="13">
        <f t="shared" ref="AA7:AA11" si="7">Z7+AH7</f>
        <v>0.41666666666666669</v>
      </c>
      <c r="AB7" s="14" t="b">
        <f>IF(Allgemeines!$E$20&gt;=3,IF(AC7="","",3))</f>
        <v>0</v>
      </c>
      <c r="AC7" s="15" t="str">
        <f>AC5</f>
        <v/>
      </c>
      <c r="AD7" s="15">
        <v>2</v>
      </c>
      <c r="AE7" s="15" t="b">
        <f>IF(Allgemeines!$E$20&gt;=3,IF(OR(ROUNDUP((AE5/2)/6,0)*6=6,VLOOKUP(AE5,Hilfstabelle!$F$2:$G$61,2,FALSE)&lt;=6,AC7="Pause"),0,VLOOKUP(AE5,Hilfstabelle!$F$2:$G$61,2,FALSE)))</f>
        <v>0</v>
      </c>
      <c r="AF7" s="15" t="b">
        <f>IF(Allgemeines!$E$20&gt;=3,IF(AC7="Pause","",IF(AE7=0,,ROUNDUP(AE7/IFERROR(IF(MATCH(AC7,Hilfstabelle!$A$1:$A$71,0)&gt;=1,IF(MID(AC7,LEN(AC7)-4,1)="D",Allgemeines!$E$23,IF(MID(AC7,LEN(AC7)-4,1)="C",Allgemeines!$E$24,IF(MID(AC7,LEN(AC7)-4,1)="B",Allgemeines!$E$25,IF(MID(AC7,LEN(AC7)-4,1)="A",Allgemeines!$E$26,IF(MID(AC7,LEN(AC7)-4,1)="S",Allgemeines!$E$27,)))))),""),0))))</f>
        <v>0</v>
      </c>
      <c r="AG7" s="15" t="b">
        <f>IF(Allgemeines!$E$20&gt;=3,IFERROR(IF(MATCH(AC7,Hilfstabelle!$A$1:$A$71,0)&gt;=1,IF(MID(AC7,LEN(AC7)-4,1)="D",3,IF(MID(AC7,LEN(AC7)-4,1)="C",4,5))),""))</f>
        <v>0</v>
      </c>
      <c r="AH7" s="16" t="str">
        <f>IFERROR(IF(AND(AH6=0,IF(IFERROR(FIND("Finale",AD7,1),FALSE)=1,FALSE)),0,IF(AND(AC7&lt;&gt;"Pause",AD7&lt;&gt;"Finale",AE7&gt;1),CONCATENATE("00:",AG7*AF7*Allgemeines!$E$33),IF(AND(AC7="Pause",AD6=1,IFERROR(FIND("SE",AD7,1),0)),Allgemeines!$E$36*AF5,IF(IFERROR(FIND("Finale",AD7,1),0)&gt;0,TIME(0,20,0)*AF7,IF(AND(AC7="Pause",AH6&lt;&gt;0),Allgemeines!$E$30,TIME(0,0,0)))))),TIME(0,0,0))</f>
        <v>00:0</v>
      </c>
    </row>
    <row r="8" spans="1:34" x14ac:dyDescent="0.25">
      <c r="A8" s="45"/>
      <c r="B8" s="43"/>
      <c r="C8" s="44"/>
      <c r="D8" s="31">
        <f t="shared" si="2"/>
        <v>0</v>
      </c>
      <c r="E8" s="10">
        <f t="shared" si="0"/>
        <v>6.9444444444444441E-3</v>
      </c>
      <c r="F8" s="32">
        <f t="shared" si="1"/>
        <v>6.9444444444444441E-3</v>
      </c>
      <c r="G8" s="40"/>
      <c r="H8" s="12">
        <f t="shared" si="3"/>
        <v>0.41666666666666669</v>
      </c>
      <c r="I8" s="13">
        <f t="shared" si="4"/>
        <v>0.4236111111111111</v>
      </c>
      <c r="J8" s="34"/>
      <c r="K8" s="15" t="s">
        <v>10</v>
      </c>
      <c r="L8" s="15"/>
      <c r="M8" s="15"/>
      <c r="N8" s="15" t="b">
        <f>IF(Allgemeines!$E$20&gt;=1,IF(K8="Pause","",IF(M8=0,,ROUNDUP(M8/IFERROR(IF(MATCH(K8,Hilfstabelle!$A$1:$A$71,0)&gt;=1,IF(MID(K8,LEN(K8)-4,1)="D",Allgemeines!$E$23,IF(MID(K8,LEN(K8)-4,1)="C",Allgemeines!$E$24,IF(MID(K8,LEN(K8)-4,1)="B",Allgemeines!$E$25,IF(MID(K8,LEN(K8)-4,1)="A",Allgemeines!$E$26,IF(MID(K8,LEN(K8)-4,1)="S",Allgemeines!$E$27,)))))),""),0))))</f>
        <v>0</v>
      </c>
      <c r="O8" s="15" t="b">
        <f>IF(Allgemeines!$E$20&gt;=1,IFERROR(IF(MATCH(K8,Hilfstabelle!$A$1:$A$71,0)&gt;=1,IF(MID(K8,LEN(K8)-4,1)="D",3,IF(MID(K8,LEN(K8)-4,1)="C",4,5))),""))</f>
        <v>0</v>
      </c>
      <c r="P8" s="16">
        <f>IFERROR(IF(AND(P7=0,IF(IFERROR(FIND("Finale",L8,1),FALSE)=1,FALSE)),0,IF(AND(K8&lt;&gt;"Pause",L8&lt;&gt;"Finale",M8&gt;1),CONCATENATE("00:",O8*N8*Allgemeines!$E$33),IF(AND(K8="Pause",L7=1,IFERROR(FIND("SE",L8,1),0)),Allgemeines!$E$36*N6,IF(IFERROR(FIND("Finale",L8,1),0)&gt;0,TIME(0,20,0)*N8,IF(AND(K8="Pause",P7&lt;&gt;0),Allgemeines!$E$30,TIME(0,0,0)))))),TIME(0,0,0))</f>
        <v>6.9444444444444441E-3</v>
      </c>
      <c r="Q8" s="12">
        <f t="shared" si="5"/>
        <v>0.41666666666666669</v>
      </c>
      <c r="R8" s="13">
        <f t="shared" ref="R8:R11" si="8">Q8+Y8</f>
        <v>0.4236111111111111</v>
      </c>
      <c r="S8" s="14"/>
      <c r="T8" s="15" t="s">
        <v>10</v>
      </c>
      <c r="U8" s="15"/>
      <c r="V8" s="15"/>
      <c r="W8" s="15" t="b">
        <f>IF(Allgemeines!$E$20&gt;=2,IF(T8="Pause","",IF(V8=0,,ROUNDUP(V8/IFERROR(IF(MATCH(T8,Hilfstabelle!$A$1:$A$71,0)&gt;=1,IF(MID(T8,LEN(T8)-4,1)="D",Allgemeines!$E$23,IF(MID(T8,LEN(T8)-4,1)="C",Allgemeines!$E$24,IF(MID(T8,LEN(T8)-4,1)="B",Allgemeines!$E$25,IF(MID(T8,LEN(T8)-4,1)="A",Allgemeines!$E$26,IF(MID(T8,LEN(T8)-4,1)="S",Allgemeines!$E$27,)))))),""),0))))</f>
        <v>0</v>
      </c>
      <c r="X8" s="15" t="b">
        <f>IF(Allgemeines!$E$20&gt;=2,IFERROR(IF(MATCH(T8,Hilfstabelle!$A$1:$A$71,0)&gt;=1,IF(MID(T8,LEN(T8)-4,1)="D",3,IF(MID(T8,LEN(T8)-4,1)="C",4,5))),""))</f>
        <v>0</v>
      </c>
      <c r="Y8" s="16">
        <f>IFERROR(IF(AND(Y7=0,IF(IFERROR(FIND("Finale",U8,1),FALSE)=1,FALSE)),0,IF(AND(T8&lt;&gt;"Pause",U8&lt;&gt;"Finale",V8&gt;1),CONCATENATE("00:",X8*W8*Allgemeines!$E$33),IF(AND(T8="Pause",U7=1,IFERROR(FIND("SE",U8,1),0)),Allgemeines!$E$36*W6,IF(IFERROR(FIND("Finale",U8,1),0)&gt;0,TIME(0,20,0)*W8,IF(AND(T8="Pause",Y7&lt;&gt;0),Allgemeines!$E$30,TIME(0,0,0)))))),TIME(0,0,0))</f>
        <v>6.9444444444444441E-3</v>
      </c>
      <c r="Z8" s="12">
        <f t="shared" si="6"/>
        <v>0.41666666666666669</v>
      </c>
      <c r="AA8" s="13">
        <f t="shared" si="7"/>
        <v>0.4236111111111111</v>
      </c>
      <c r="AB8" s="14"/>
      <c r="AC8" s="15" t="s">
        <v>10</v>
      </c>
      <c r="AD8" s="15"/>
      <c r="AE8" s="15"/>
      <c r="AF8" s="15" t="b">
        <f>IF(Allgemeines!$E$20&gt;=3,IF(AC8="Pause","",IF(AE8=0,,ROUNDUP(AE8/IFERROR(IF(MATCH(AC8,Hilfstabelle!$A$1:$A$71,0)&gt;=1,IF(MID(AC8,LEN(AC8)-4,1)="D",Allgemeines!$E$23,IF(MID(AC8,LEN(AC8)-4,1)="C",Allgemeines!$E$24,IF(MID(AC8,LEN(AC8)-4,1)="B",Allgemeines!$E$25,IF(MID(AC8,LEN(AC8)-4,1)="A",Allgemeines!$E$26,IF(MID(AC8,LEN(AC8)-4,1)="S",Allgemeines!$E$27,)))))),""),0))))</f>
        <v>0</v>
      </c>
      <c r="AG8" s="15" t="b">
        <f>IF(Allgemeines!$E$20&gt;=3,IFERROR(IF(MATCH(AC8,Hilfstabelle!$A$1:$A$71,0)&gt;=1,IF(MID(AC8,LEN(AC8)-4,1)="D",3,IF(MID(AC8,LEN(AC8)-4,1)="C",4,5))),""))</f>
        <v>0</v>
      </c>
      <c r="AH8" s="16">
        <f>IFERROR(IF(AND(AH7=0,IF(IFERROR(FIND("Finale",AD8,1),FALSE)=1,FALSE)),0,IF(AND(AC8&lt;&gt;"Pause",AD8&lt;&gt;"Finale",AE8&gt;1),CONCATENATE("00:",AG8*AF8*Allgemeines!$E$33),IF(AND(AC8="Pause",AD7=1,IFERROR(FIND("SE",AD8,1),0)),Allgemeines!$E$36*AF6,IF(IFERROR(FIND("Finale",AD8,1),0)&gt;0,TIME(0,20,0)*AF8,IF(AND(AC8="Pause",AH7&lt;&gt;0),Allgemeines!$E$30,TIME(0,0,0)))))),TIME(0,0,0))</f>
        <v>6.9444444444444441E-3</v>
      </c>
    </row>
    <row r="9" spans="1:34" x14ac:dyDescent="0.25">
      <c r="A9" s="45"/>
      <c r="B9" s="43"/>
      <c r="C9" s="44"/>
      <c r="D9" s="31">
        <f t="shared" si="2"/>
        <v>6.9444444444444441E-3</v>
      </c>
      <c r="E9" s="10" t="str">
        <f t="shared" si="0"/>
        <v>00:0</v>
      </c>
      <c r="F9" s="32">
        <f t="shared" si="1"/>
        <v>6.9444444444444441E-3</v>
      </c>
      <c r="G9" s="40"/>
      <c r="H9" s="12">
        <f t="shared" si="3"/>
        <v>0.4236111111111111</v>
      </c>
      <c r="I9" s="13">
        <f t="shared" si="4"/>
        <v>0.4236111111111111</v>
      </c>
      <c r="J9" s="34" t="str">
        <f>IF(Allgemeines!$E$20&gt;=1,IF(K9="","",1),"")</f>
        <v/>
      </c>
      <c r="K9" s="15" t="str">
        <f>IF(Allgemeines!$E$20&gt;=1,Allgemeines!$D$5,"")</f>
        <v/>
      </c>
      <c r="L9" s="15">
        <v>3</v>
      </c>
      <c r="M9" s="15" t="b">
        <f>IF(Allgemeines!$E$20&gt;=1,IF(OR(ROUNDUP((M7/2)/6,0)*6=6,VLOOKUP(M7,Hilfstabelle!$F$2:$G$61,2,FALSE)&lt;=6,K9="Pause"),0,VLOOKUP(M7,Hilfstabelle!$F$2:$G$61,2,FALSE)))</f>
        <v>0</v>
      </c>
      <c r="N9" s="15" t="b">
        <f>IF(Allgemeines!$E$20&gt;=1,IF(K9="Pause","",IF(M9=0,,ROUNDUP(M9/IFERROR(IF(MATCH(K9,Hilfstabelle!$A$1:$A$71,0)&gt;=1,IF(MID(K9,LEN(K9)-4,1)="D",Allgemeines!$E$23,IF(MID(K9,LEN(K9)-4,1)="C",Allgemeines!$E$24,IF(MID(K9,LEN(K9)-4,1)="B",Allgemeines!$E$25,IF(MID(K9,LEN(K9)-4,1)="A",Allgemeines!$E$26,IF(MID(K9,LEN(K9)-4,1)="S",Allgemeines!$E$27,)))))),""),0))))</f>
        <v>0</v>
      </c>
      <c r="O9" s="15" t="b">
        <f>IF(Allgemeines!$E$20&gt;=1,IFERROR(IF(MATCH(K9,Hilfstabelle!$A$1:$A$71,0)&gt;=1,IF(MID(K9,LEN(K9)-4,1)="D",3,IF(MID(K9,LEN(K9)-4,1)="C",4,5))),""))</f>
        <v>0</v>
      </c>
      <c r="P9" s="16" t="str">
        <f>IFERROR(IF(AND(P8=0,IF(IFERROR(FIND("Finale",L9,1),FALSE)=1,FALSE)),0,IF(AND(K9&lt;&gt;"Pause",L9&lt;&gt;"Finale",M9&gt;1),CONCATENATE("00:",O9*N9*Allgemeines!$E$33),IF(AND(K9="Pause",L8=1,IFERROR(FIND("SE",L9,1),0)),Allgemeines!$E$36*N7,IF(IFERROR(FIND("Finale",L9,1),0)&gt;0,TIME(0,20,0)*N9,IF(AND(K9="Pause",P8&lt;&gt;0),Allgemeines!$E$30,TIME(0,0,0)))))),TIME(0,0,0))</f>
        <v>00:0</v>
      </c>
      <c r="Q9" s="12">
        <f t="shared" si="5"/>
        <v>0.4236111111111111</v>
      </c>
      <c r="R9" s="13">
        <f t="shared" si="8"/>
        <v>0.4236111111111111</v>
      </c>
      <c r="S9" s="14" t="b">
        <f>IF(Allgemeines!$E$20&gt;=2,IF(T9="","",2))</f>
        <v>0</v>
      </c>
      <c r="T9" s="15" t="str">
        <f>T5</f>
        <v/>
      </c>
      <c r="U9" s="15">
        <v>3</v>
      </c>
      <c r="V9" s="15" t="str">
        <f>IF(Allgemeines!$E$20&gt;=2,IFERROR(IF(OR(ROUNDUP((V7/2)/6,0)*6=6,VLOOKUP(V7,Hilfstabelle!$F$2:$G$61,2,FALSE)&lt;6,T9="Pause"),0,VLOOKUP(V7,Hilfstabelle!$F$2:$G$61,2,FALSE)),0),"")</f>
        <v/>
      </c>
      <c r="W9" s="15" t="b">
        <f>IF(Allgemeines!$E$20&gt;=2,IF(T9="Pause","",IF(V9=0,,ROUNDUP(V9/IFERROR(IF(MATCH(T9,Hilfstabelle!$A$1:$A$71,0)&gt;=1,IF(MID(T9,LEN(T9)-4,1)="D",Allgemeines!$E$23,IF(MID(T9,LEN(T9)-4,1)="C",Allgemeines!$E$24,IF(MID(T9,LEN(T9)-4,1)="B",Allgemeines!$E$25,IF(MID(T9,LEN(T9)-4,1)="A",Allgemeines!$E$26,IF(MID(T9,LEN(T9)-4,1)="S",Allgemeines!$E$27,)))))),""),0))))</f>
        <v>0</v>
      </c>
      <c r="X9" s="15" t="b">
        <f>IF(Allgemeines!$E$20&gt;=2,IFERROR(IF(MATCH(T9,Hilfstabelle!$A$1:$A$71,0)&gt;=1,IF(MID(T9,LEN(T9)-4,1)="D",3,IF(MID(T9,LEN(T9)-4,1)="C",4,5))),""))</f>
        <v>0</v>
      </c>
      <c r="Y9" s="16" t="str">
        <f>IFERROR(IF(AND(Y8=0,IF(IFERROR(FIND("Finale",U9,1),FALSE)=1,FALSE)),0,IF(AND(T9&lt;&gt;"Pause",U9&lt;&gt;"Finale",V9&gt;1),CONCATENATE("00:",X9*W9*Allgemeines!$E$33),IF(AND(T9="Pause",U8=1,IFERROR(FIND("SE",U9,1),0)),Allgemeines!$E$36*W7,IF(IFERROR(FIND("Finale",U9,1),0)&gt;0,TIME(0,20,0)*W9,IF(AND(T9="Pause",Y8&lt;&gt;0),Allgemeines!$E$30,TIME(0,0,0)))))),TIME(0,0,0))</f>
        <v>00:0</v>
      </c>
      <c r="Z9" s="12">
        <f t="shared" si="6"/>
        <v>0.4236111111111111</v>
      </c>
      <c r="AA9" s="13">
        <f t="shared" si="7"/>
        <v>0.4236111111111111</v>
      </c>
      <c r="AB9" s="14" t="b">
        <f>IF(Allgemeines!$E$20&gt;=3,IF(AC9="","",3))</f>
        <v>0</v>
      </c>
      <c r="AC9" s="15" t="str">
        <f>AC5</f>
        <v/>
      </c>
      <c r="AD9" s="15">
        <v>3</v>
      </c>
      <c r="AE9" s="15" t="str">
        <f>IF(Allgemeines!$E$20&gt;=3,IFERROR(IF(OR(ROUNDUP((AE7/2)/6,0)*6=6,VLOOKUP(AE7,Hilfstabelle!$F$2:$G$61,2,FALSE)&lt;6,AC9="Pause"),0,VLOOKUP(AE7,Hilfstabelle!$F$2:$G$61,2,FALSE)),0),"")</f>
        <v/>
      </c>
      <c r="AF9" s="15" t="b">
        <f>IF(Allgemeines!$E$20&gt;=3,IF(AC9="Pause","",IF(AE9=0,,ROUNDUP(AE9/IFERROR(IF(MATCH(AC9,Hilfstabelle!$A$1:$A$71,0)&gt;=1,IF(MID(AC9,LEN(AC9)-4,1)="D",Allgemeines!$E$23,IF(MID(AC9,LEN(AC9)-4,1)="C",Allgemeines!$E$24,IF(MID(AC9,LEN(AC9)-4,1)="B",Allgemeines!$E$25,IF(MID(AC9,LEN(AC9)-4,1)="A",Allgemeines!$E$26,IF(MID(AC9,LEN(AC9)-4,1)="S",Allgemeines!$E$27,)))))),""),0))))</f>
        <v>0</v>
      </c>
      <c r="AG9" s="15" t="b">
        <f>IF(Allgemeines!$E$20&gt;=3,IFERROR(IF(MATCH(AC9,Hilfstabelle!$A$1:$A$71,0)&gt;=1,IF(MID(AC9,LEN(AC9)-4,1)="D",3,IF(MID(AC9,LEN(AC9)-4,1)="C",4,5))),""))</f>
        <v>0</v>
      </c>
      <c r="AH9" s="16" t="str">
        <f>IFERROR(IF(AND(AH8=0,IF(IFERROR(FIND("Finale",AD9,1),FALSE)=1,FALSE)),0,IF(AND(AC9&lt;&gt;"Pause",AD9&lt;&gt;"Finale",AE9&gt;1),CONCATENATE("00:",AG9*AF9*Allgemeines!$E$33),IF(AND(AC9="Pause",AD8=1,IFERROR(FIND("SE",AD9,1),0)),Allgemeines!$E$36*AF7,IF(IFERROR(FIND("Finale",AD9,1),0)&gt;0,TIME(0,20,0)*AF9,IF(AND(AC9="Pause",AH8&lt;&gt;0),Allgemeines!$E$30,TIME(0,0,0)))))),TIME(0,0,0))</f>
        <v>00:0</v>
      </c>
    </row>
    <row r="10" spans="1:34" x14ac:dyDescent="0.25">
      <c r="A10" s="45"/>
      <c r="B10" s="43"/>
      <c r="C10" s="44"/>
      <c r="D10" s="31">
        <f t="shared" si="2"/>
        <v>6.9444444444444441E-3</v>
      </c>
      <c r="E10" s="10">
        <f t="shared" si="0"/>
        <v>6.9444444444444441E-3</v>
      </c>
      <c r="F10" s="32">
        <f t="shared" si="1"/>
        <v>1.3888888888888888E-2</v>
      </c>
      <c r="G10" s="40"/>
      <c r="H10" s="12">
        <f t="shared" si="3"/>
        <v>0.4236111111111111</v>
      </c>
      <c r="I10" s="13">
        <f t="shared" si="4"/>
        <v>0.43055555555555552</v>
      </c>
      <c r="J10" s="34"/>
      <c r="K10" s="15" t="s">
        <v>10</v>
      </c>
      <c r="L10" s="15"/>
      <c r="M10" s="15"/>
      <c r="N10" s="15" t="b">
        <f>IF(Allgemeines!$E$20&gt;=1,IF(K10="Pause","",IF(M10=0,,ROUNDUP(M10/IFERROR(IF(MATCH(K10,Hilfstabelle!$A$1:$A$71,0)&gt;=1,IF(MID(K10,LEN(K10)-4,1)="D",Allgemeines!$E$23,IF(MID(K10,LEN(K10)-4,1)="C",Allgemeines!$E$24,IF(MID(K10,LEN(K10)-4,1)="B",Allgemeines!$E$25,IF(MID(K10,LEN(K10)-4,1)="A",Allgemeines!$E$26,IF(MID(K10,LEN(K10)-4,1)="S",Allgemeines!$E$27,)))))),""),0))))</f>
        <v>0</v>
      </c>
      <c r="O10" s="15" t="b">
        <f>IF(Allgemeines!$E$20&gt;=1,IFERROR(IF(MATCH(K10,Hilfstabelle!$A$1:$A$71,0)&gt;=1,IF(MID(K10,LEN(K10)-4,1)="D",3,IF(MID(K10,LEN(K10)-4,1)="C",4,5))),""))</f>
        <v>0</v>
      </c>
      <c r="P10" s="16">
        <f>IFERROR(IF(AND(P9=0,IF(IFERROR(FIND("Finale",L10,1),FALSE)=1,FALSE)),0,IF(AND(K10&lt;&gt;"Pause",L10&lt;&gt;"Finale",M10&gt;1),CONCATENATE("00:",O10*N10*Allgemeines!$E$33),IF(AND(K10="Pause",L9=1,IFERROR(FIND("SE",L10,1),0)),Allgemeines!$E$36*N8,IF(IFERROR(FIND("Finale",L10,1),0)&gt;0,TIME(0,20,0)*N10,IF(AND(K10="Pause",P9&lt;&gt;0),Allgemeines!$E$30,TIME(0,0,0)))))),TIME(0,0,0))</f>
        <v>6.9444444444444441E-3</v>
      </c>
      <c r="Q10" s="12">
        <f t="shared" si="5"/>
        <v>0.4236111111111111</v>
      </c>
      <c r="R10" s="13">
        <f t="shared" si="8"/>
        <v>0.43055555555555552</v>
      </c>
      <c r="S10" s="14"/>
      <c r="T10" s="15" t="s">
        <v>10</v>
      </c>
      <c r="U10" s="15"/>
      <c r="V10" s="15"/>
      <c r="W10" s="15" t="b">
        <f>IF(Allgemeines!$E$20&gt;=2,IF(T10="Pause","",IF(V10=0,,ROUNDUP(V10/IFERROR(IF(MATCH(T10,Hilfstabelle!$A$1:$A$71,0)&gt;=1,IF(MID(T10,LEN(T10)-4,1)="D",Allgemeines!$E$23,IF(MID(T10,LEN(T10)-4,1)="C",Allgemeines!$E$24,IF(MID(T10,LEN(T10)-4,1)="B",Allgemeines!$E$25,IF(MID(T10,LEN(T10)-4,1)="A",Allgemeines!$E$26,IF(MID(T10,LEN(T10)-4,1)="S",Allgemeines!$E$27,)))))),""),0))))</f>
        <v>0</v>
      </c>
      <c r="X10" s="15" t="b">
        <f>IF(Allgemeines!$E$20&gt;=2,IFERROR(IF(MATCH(T10,Hilfstabelle!$A$1:$A$71,0)&gt;=1,IF(MID(T10,LEN(T10)-4,1)="D",3,IF(MID(T10,LEN(T10)-4,1)="C",4,5))),""))</f>
        <v>0</v>
      </c>
      <c r="Y10" s="16">
        <f>IFERROR(IF(AND(Y9=0,IF(IFERROR(FIND("Finale",U10,1),FALSE)=1,FALSE)),0,IF(AND(T10&lt;&gt;"Pause",U10&lt;&gt;"Finale",V10&gt;1),CONCATENATE("00:",X10*W10*Allgemeines!$E$33),IF(AND(T10="Pause",U9=1,IFERROR(FIND("SE",U10,1),0)),Allgemeines!$E$36*W8,IF(IFERROR(FIND("Finale",U10,1),0)&gt;0,TIME(0,20,0)*W10,IF(AND(T10="Pause",Y9&lt;&gt;0),Allgemeines!$E$30,TIME(0,0,0)))))),TIME(0,0,0))</f>
        <v>6.9444444444444441E-3</v>
      </c>
      <c r="Z10" s="12">
        <f t="shared" si="6"/>
        <v>0.4236111111111111</v>
      </c>
      <c r="AA10" s="13">
        <f t="shared" si="7"/>
        <v>0.43055555555555552</v>
      </c>
      <c r="AB10" s="14"/>
      <c r="AC10" s="15" t="s">
        <v>10</v>
      </c>
      <c r="AD10" s="15"/>
      <c r="AE10" s="15"/>
      <c r="AF10" s="15" t="b">
        <f>IF(Allgemeines!$E$20&gt;=3,IF(AC10="Pause","",IF(AE10=0,,ROUNDUP(AE10/IFERROR(IF(MATCH(AC10,Hilfstabelle!$A$1:$A$71,0)&gt;=1,IF(MID(AC10,LEN(AC10)-4,1)="D",Allgemeines!$E$23,IF(MID(AC10,LEN(AC10)-4,1)="C",Allgemeines!$E$24,IF(MID(AC10,LEN(AC10)-4,1)="B",Allgemeines!$E$25,IF(MID(AC10,LEN(AC10)-4,1)="A",Allgemeines!$E$26,IF(MID(AC10,LEN(AC10)-4,1)="S",Allgemeines!$E$27,)))))),""),0))))</f>
        <v>0</v>
      </c>
      <c r="AG10" s="15" t="b">
        <f>IF(Allgemeines!$E$20&gt;=3,IFERROR(IF(MATCH(AC10,Hilfstabelle!$A$1:$A$71,0)&gt;=1,IF(MID(AC10,LEN(AC10)-4,1)="D",3,IF(MID(AC10,LEN(AC10)-4,1)="C",4,5))),""))</f>
        <v>0</v>
      </c>
      <c r="AH10" s="16">
        <f>IFERROR(IF(AND(AH9=0,IF(IFERROR(FIND("Finale",AD10,1),FALSE)=1,FALSE)),0,IF(AND(AC10&lt;&gt;"Pause",AD10&lt;&gt;"Finale",AE10&gt;1),CONCATENATE("00:",AG10*AF10*Allgemeines!$E$33),IF(AND(AC10="Pause",AD9=1,IFERROR(FIND("SE",AD10,1),0)),Allgemeines!$E$36*AF8,IF(IFERROR(FIND("Finale",AD10,1),0)&gt;0,TIME(0,20,0)*AF10,IF(AND(AC10="Pause",AH9&lt;&gt;0),Allgemeines!$E$30,TIME(0,0,0)))))),TIME(0,0,0))</f>
        <v>6.9444444444444441E-3</v>
      </c>
    </row>
    <row r="11" spans="1:34" x14ac:dyDescent="0.25">
      <c r="A11" s="48"/>
      <c r="B11" s="49"/>
      <c r="C11" s="50">
        <f>A5+B5</f>
        <v>0</v>
      </c>
      <c r="D11" s="19">
        <f t="shared" si="2"/>
        <v>1.3888888888888888E-2</v>
      </c>
      <c r="E11" s="17" t="str">
        <f t="shared" si="0"/>
        <v>00:0</v>
      </c>
      <c r="F11" s="37">
        <f>D11+E11</f>
        <v>1.3888888888888888E-2</v>
      </c>
      <c r="G11" s="41">
        <f>F11-D5</f>
        <v>1.3888888888888888E-2</v>
      </c>
      <c r="H11" s="19">
        <f t="shared" si="3"/>
        <v>0.43055555555555552</v>
      </c>
      <c r="I11" s="33">
        <f t="shared" si="4"/>
        <v>0.43055555555555552</v>
      </c>
      <c r="J11" s="35" t="str">
        <f>IF(Allgemeines!$E$20&gt;=1,IF(K11="","",1),"")</f>
        <v/>
      </c>
      <c r="K11" s="21" t="str">
        <f>K5</f>
        <v/>
      </c>
      <c r="L11" s="21" t="str">
        <f>IF(Allgemeines!$E$20&gt;=1,IF(Allgemeines!$E$39="x","Finale + SE","Finale"),"")</f>
        <v/>
      </c>
      <c r="M11" s="21" t="b">
        <f>IF(Allgemeines!$E$20&gt;=1,IF(M5&gt;6,6,M5))</f>
        <v>0</v>
      </c>
      <c r="N11" s="21" t="b">
        <f>IF(Allgemeines!$E$20&gt;=1,IF(K11="Pause","",IF(M11=0,,ROUNDUP(M11/IFERROR(IF(MATCH(K11,Hilfstabelle!$A$1:$A$71,0)&gt;=1,IF(MID(K11,LEN(K11)-4,1)="D",Allgemeines!$E$23,IF(MID(K11,LEN(K11)-4,1)="C",Allgemeines!$E$24,IF(MID(K11,LEN(K11)-4,1)="B",Allgemeines!$E$25,IF(MID(K11,LEN(K11)-4,1)="A",Allgemeines!$E$26,IF(MID(K11,LEN(K11)-4,1)="S",Allgemeines!$E$27,)))))),""),0))))</f>
        <v>0</v>
      </c>
      <c r="O11" s="21" t="b">
        <f>IF(Allgemeines!$E$20&gt;=1,IFERROR(IF(MATCH(K11,Hilfstabelle!$A$1:$A$71,0)&gt;=1,IF(MID(K11,LEN(K11)-4,1)="D",3,IF(MID(K11,LEN(K11)-4,1)="C",4,5))),""))</f>
        <v>0</v>
      </c>
      <c r="P11" s="22" t="str">
        <f>IFERROR(IF(AND(P10=0,IF(IFERROR(FIND("Finale",L11,1),FALSE)=1,FALSE)),0,IF(AND(K11&lt;&gt;"Pause",L11&lt;&gt;"Finale",M11&gt;1),CONCATENATE("00:",O11*N11*Allgemeines!$E$33),IF(AND(K11="Pause",L10=1,IFERROR(FIND("SE",L11,1),0)),Allgemeines!$E$36*N9,IF(IFERROR(FIND("Finale",L11,1),0)&gt;0,TIME(0,20,0)*N11,IF(AND(K11="Pause",P10&lt;&gt;0),Allgemeines!$E$30,TIME(0,0,0)))))),TIME(0,0,0))</f>
        <v>00:0</v>
      </c>
      <c r="Q11" s="19">
        <f t="shared" si="5"/>
        <v>0.43055555555555552</v>
      </c>
      <c r="R11" s="18">
        <f t="shared" si="8"/>
        <v>0.43055555555555552</v>
      </c>
      <c r="S11" s="20" t="b">
        <f>IF(Allgemeines!$E$20&gt;=2,IF(T11="","",2))</f>
        <v>0</v>
      </c>
      <c r="T11" s="21" t="str">
        <f>T5</f>
        <v/>
      </c>
      <c r="U11" s="21" t="b">
        <f>IF(Allgemeines!$E$20&gt;=2,IF(Allgemeines!$E$39="x","Finale + SE","Finale"))</f>
        <v>0</v>
      </c>
      <c r="V11" s="21" t="b">
        <f>IF(Allgemeines!$E$20&gt;=2,IF(V5&gt;6,6,V5))</f>
        <v>0</v>
      </c>
      <c r="W11" s="21" t="b">
        <f>IF(Allgemeines!$E$20&gt;=2,IF(T11="Pause","",IF(V11=0,,ROUNDUP(V11/IFERROR(IF(MATCH(T11,Hilfstabelle!$A$1:$A$71,0)&gt;=1,IF(MID(T11,LEN(T11)-4,1)="D",Allgemeines!$E$23,IF(MID(T11,LEN(T11)-4,1)="C",Allgemeines!$E$24,IF(MID(T11,LEN(T11)-4,1)="B",Allgemeines!$E$25,IF(MID(T11,LEN(T11)-4,1)="A",Allgemeines!$E$26,IF(MID(T11,LEN(T11)-4,1)="S",Allgemeines!$E$27,)))))),""),0))))</f>
        <v>0</v>
      </c>
      <c r="X11" s="21" t="b">
        <f>IF(Allgemeines!$E$20&gt;=2,IFERROR(IF(MATCH(T11,Hilfstabelle!$A$1:$A$71,0)&gt;=1,IF(MID(T11,LEN(T11)-4,1)="D",3,IF(MID(T11,LEN(T11)-4,1)="C",4,5))),""))</f>
        <v>0</v>
      </c>
      <c r="Y11" s="22" t="str">
        <f>IFERROR(IF(AND(Y10=0,IF(IFERROR(FIND("Finale",U11,1),FALSE)=1,FALSE)),0,IF(AND(T11&lt;&gt;"Pause",U11&lt;&gt;"Finale",V11&gt;1),CONCATENATE("00:",X11*W11*Allgemeines!$E$33),IF(AND(T11="Pause",U10=1,IFERROR(FIND("SE",U11,1),0)),Allgemeines!$E$36*W9,IF(IFERROR(FIND("Finale",U11,1),0)&gt;0,TIME(0,20,0)*W11,IF(AND(T11="Pause",Y10&lt;&gt;0),Allgemeines!$E$30,TIME(0,0,0)))))),TIME(0,0,0))</f>
        <v>00:0</v>
      </c>
      <c r="Z11" s="19">
        <f t="shared" si="6"/>
        <v>0.43055555555555552</v>
      </c>
      <c r="AA11" s="18">
        <f t="shared" si="7"/>
        <v>0.43055555555555552</v>
      </c>
      <c r="AB11" s="20" t="b">
        <f>IF(Allgemeines!$E$20&gt;=3,IF(AC11="","",3))</f>
        <v>0</v>
      </c>
      <c r="AC11" s="21" t="str">
        <f>AC5</f>
        <v/>
      </c>
      <c r="AD11" s="21" t="b">
        <f>IF(Allgemeines!$E$20&gt;=3,IF(Allgemeines!$E$39="x","Finale + SE","Finale"))</f>
        <v>0</v>
      </c>
      <c r="AE11" s="21" t="b">
        <f>IF(Allgemeines!$E$20&gt;=3,IF(AE5&gt;6,6,AE5))</f>
        <v>0</v>
      </c>
      <c r="AF11" s="21" t="b">
        <f>IF(Allgemeines!$E$20&gt;=3,IF(AC11="Pause","",IF(AE11=0,,ROUNDUP(AE11/IFERROR(IF(MATCH(AC11,Hilfstabelle!$A$1:$A$71,0)&gt;=1,IF(MID(AC11,LEN(AC11)-4,1)="D",Allgemeines!$E$23,IF(MID(AC11,LEN(AC11)-4,1)="C",Allgemeines!$E$24,IF(MID(AC11,LEN(AC11)-4,1)="B",Allgemeines!$E$25,IF(MID(AC11,LEN(AC11)-4,1)="A",Allgemeines!$E$26,IF(MID(AC11,LEN(AC11)-4,1)="S",Allgemeines!$E$27,)))))),""),0))))</f>
        <v>0</v>
      </c>
      <c r="AG11" s="21" t="b">
        <f>IF(Allgemeines!$E$20&gt;=3,IFERROR(IF(MATCH(AC11,Hilfstabelle!$A$1:$A$71,0)&gt;=1,IF(MID(AC11,LEN(AC11)-4,1)="D",3,IF(MID(AC11,LEN(AC11)-4,1)="C",4,5))),""))</f>
        <v>0</v>
      </c>
      <c r="AH11" s="22" t="str">
        <f>IFERROR(IF(AND(AH10=0,IF(IFERROR(FIND("Finale",AD11,1),FALSE)=1,FALSE)),0,IF(AND(AC11&lt;&gt;"Pause",AD11&lt;&gt;"Finale",AE11&gt;1),CONCATENATE("00:",AG11*AF11*Allgemeines!$E$33),IF(AND(AC11="Pause",AD10=1,IFERROR(FIND("SE",AD11,1),0)),Allgemeines!$E$36*AF9,IF(IFERROR(FIND("Finale",AD11,1),0)&gt;0,TIME(0,20,0)*AF11,IF(AND(AC11="Pause",AH10&lt;&gt;0),Allgemeines!$E$30,TIME(0,0,0)))))),TIME(0,0,0))</f>
        <v>00:0</v>
      </c>
    </row>
    <row r="12" spans="1:34" x14ac:dyDescent="0.25">
      <c r="A12" s="42">
        <f>Allgemeines!$B$6</f>
        <v>0</v>
      </c>
      <c r="B12" s="43">
        <f>Allgemeines!$C$6-Allgemeines!$B$6</f>
        <v>0</v>
      </c>
      <c r="C12" s="44"/>
      <c r="D12" s="36">
        <f>F11</f>
        <v>1.3888888888888888E-2</v>
      </c>
      <c r="E12" s="11" t="str">
        <f t="shared" si="0"/>
        <v>00:0</v>
      </c>
      <c r="F12" s="30">
        <f>D12+E12</f>
        <v>1.3888888888888888E-2</v>
      </c>
      <c r="G12" s="39"/>
      <c r="H12" s="12">
        <f t="shared" si="3"/>
        <v>0.43055555555555552</v>
      </c>
      <c r="I12" s="13">
        <f>H12+P12</f>
        <v>0.43055555555555552</v>
      </c>
      <c r="J12" s="34" t="str">
        <f>IF(Allgemeines!$E$20&gt;=1,IF(K12="","",1),"")</f>
        <v/>
      </c>
      <c r="K12" s="15" t="str">
        <f>IF(Allgemeines!$E$20&gt;=1,Allgemeines!$D$6,"")</f>
        <v/>
      </c>
      <c r="L12" s="15">
        <v>1</v>
      </c>
      <c r="M12" s="15" t="b">
        <f>IF(Allgemeines!$E$20&gt;=1,Allgemeines!$E$6)</f>
        <v>0</v>
      </c>
      <c r="N12" s="15" t="b">
        <f>IF(Allgemeines!$E$20&gt;=1,IF(K12="Pause","",IF(M12=0,,ROUNDUP(M12/IFERROR(IF(MATCH(K12,Hilfstabelle!$A$1:$A$71,0)&gt;=1,IF(MID(K12,LEN(K12)-4,1)="D",Allgemeines!$E$23,IF(MID(K12,LEN(K12)-4,1)="C",Allgemeines!$E$24,IF(MID(K12,LEN(K12)-4,1)="B",Allgemeines!$E$25,IF(MID(K12,LEN(K12)-4,1)="A",Allgemeines!$E$26,IF(MID(K12,LEN(K12)-4,1)="S",Allgemeines!$E$27,)))))),""),0))))</f>
        <v>0</v>
      </c>
      <c r="O12" s="15" t="b">
        <f>IF(Allgemeines!$E$20&gt;=1,IFERROR(IF(MATCH(K12,Hilfstabelle!$A$1:$A$71,0)&gt;=1,IF(MID(K12,LEN(K12)-4,1)="D",3,IF(MID(K12,LEN(K12)-4,1)="C",4,5))),""))</f>
        <v>0</v>
      </c>
      <c r="P12" s="16" t="str">
        <f>IFERROR(IF(AND(P11=0,IF(IFERROR(FIND("Finale",L12,1),FALSE)=1,FALSE)),0,IF(AND(K12&lt;&gt;"Pause",L12&lt;&gt;"Finale",M12&gt;1),CONCATENATE("00:",O12*N12*Allgemeines!$E$33),IF(AND(K12="Pause",L11=1,IFERROR(FIND("SE",L12,1),0)),Allgemeines!$E$36*N10,IF(IFERROR(FIND("Finale",L12,1),0)&gt;0,TIME(0,20,0)*N12,IF(AND(K12="Pause",P11&lt;&gt;0),Allgemeines!$E$30,TIME(0,0,0)))))),TIME(0,0,0))</f>
        <v>00:0</v>
      </c>
      <c r="Q12" s="12">
        <f t="shared" si="5"/>
        <v>0.43055555555555552</v>
      </c>
      <c r="R12" s="13">
        <f>Q12+Y12</f>
        <v>0.43055555555555552</v>
      </c>
      <c r="S12" s="14" t="b">
        <f>IF(Allgemeines!$E$20&gt;=2,IF(T12="","",2))</f>
        <v>0</v>
      </c>
      <c r="T12" s="15" t="str">
        <f>IF(Allgemeines!$E$20&gt;=2,Allgemeines!$F$6,"")</f>
        <v/>
      </c>
      <c r="U12" s="15">
        <v>1</v>
      </c>
      <c r="V12" s="15" t="b">
        <f>IF(Allgemeines!$E$20&gt;=2,Allgemeines!$G$6)</f>
        <v>0</v>
      </c>
      <c r="W12" s="15" t="b">
        <f>IF(Allgemeines!$E$20&gt;=2,IF(T12="Pause","",IF(V12=0,,ROUNDUP(V12/IFERROR(IF(MATCH(T12,Hilfstabelle!$A$1:$A$71,0)&gt;=1,IF(MID(T12,LEN(T12)-4,1)="D",Allgemeines!$E$23,IF(MID(T12,LEN(T12)-4,1)="C",Allgemeines!$E$24,IF(MID(T12,LEN(T12)-4,1)="B",Allgemeines!$E$25,IF(MID(T12,LEN(T12)-4,1)="A",Allgemeines!$E$26,IF(MID(T12,LEN(T12)-4,1)="S",Allgemeines!$E$27,)))))),""),0))))</f>
        <v>0</v>
      </c>
      <c r="X12" s="15" t="b">
        <f>IF(Allgemeines!$E$20&gt;=2,IFERROR(IF(MATCH(T12,Hilfstabelle!$A$1:$A$71,0)&gt;=1,IF(MID(T12,LEN(T12)-4,1)="D",3,IF(MID(T12,LEN(T12)-4,1)="C",4,5))),""))</f>
        <v>0</v>
      </c>
      <c r="Y12" s="16" t="str">
        <f>IFERROR(IF(AND(Y11=0,IF(IFERROR(FIND("Finale",U12,1),FALSE)=1,FALSE)),0,IF(AND(T12&lt;&gt;"Pause",U12&lt;&gt;"Finale",V12&gt;1),CONCATENATE("00:",X12*W12*Allgemeines!$E$33),IF(AND(T12="Pause",U11=1,IFERROR(FIND("SE",U12,1),0)),Allgemeines!$E$36*W10,IF(IFERROR(FIND("Finale",U12,1),0)&gt;0,TIME(0,20,0)*W12,IF(AND(T12="Pause",Y11&lt;&gt;0),Allgemeines!$E$30,TIME(0,0,0)))))),TIME(0,0,0))</f>
        <v>00:0</v>
      </c>
      <c r="Z12" s="12">
        <f t="shared" si="6"/>
        <v>0.43055555555555552</v>
      </c>
      <c r="AA12" s="13">
        <f>Z12+AH12</f>
        <v>0.43055555555555552</v>
      </c>
      <c r="AB12" s="14" t="b">
        <f>IF(Allgemeines!$E$20&gt;=3,IF(AC12="","",3))</f>
        <v>0</v>
      </c>
      <c r="AC12" s="15" t="str">
        <f>IF(Allgemeines!$E$20&gt;=3,Allgemeines!$H$6,"")</f>
        <v/>
      </c>
      <c r="AD12" s="15">
        <v>1</v>
      </c>
      <c r="AE12" s="15" t="b">
        <f>IF(Allgemeines!$E$20&gt;=3,Allgemeines!$I$6)</f>
        <v>0</v>
      </c>
      <c r="AF12" s="15" t="b">
        <f>IF(Allgemeines!$E$20&gt;=3,IF(AC12="Pause","",IF(AE12=0,,ROUNDUP(AE12/IFERROR(IF(MATCH(AC12,Hilfstabelle!$A$1:$A$71,0)&gt;=1,IF(MID(AC12,LEN(AC12)-4,1)="D",Allgemeines!$E$23,IF(MID(AC12,LEN(AC12)-4,1)="C",Allgemeines!$E$24,IF(MID(AC12,LEN(AC12)-4,1)="B",Allgemeines!$E$25,IF(MID(AC12,LEN(AC12)-4,1)="A",Allgemeines!$E$26,IF(MID(AC12,LEN(AC12)-4,1)="S",Allgemeines!$E$27,)))))),""),0))))</f>
        <v>0</v>
      </c>
      <c r="AG12" s="15" t="b">
        <f>IF(Allgemeines!$E$20&gt;=3,IFERROR(IF(MATCH(AC12,Hilfstabelle!$A$1:$A$71,0)&gt;=1,IF(MID(AC12,LEN(AC12)-4,1)="D",3,IF(MID(AC12,LEN(AC12)-4,1)="C",4,5))),""))</f>
        <v>0</v>
      </c>
      <c r="AH12" s="16" t="str">
        <f>IFERROR(IF(AND(AH11=0,IF(IFERROR(FIND("Finale",AD12,1),FALSE)=1,FALSE)),0,IF(AND(AC12&lt;&gt;"Pause",AD12&lt;&gt;"Finale",AE12&gt;1),CONCATENATE("00:",AG12*AF12*Allgemeines!$E$33),IF(AND(AC12="Pause",AD11=1,IFERROR(FIND("SE",AD12,1),0)),Allgemeines!$E$36*AF10,IF(IFERROR(FIND("Finale",AD12,1),0)&gt;0,TIME(0,20,0)*AF12,IF(AND(AC12="Pause",AH11&lt;&gt;0),Allgemeines!$E$30,TIME(0,0,0)))))),TIME(0,0,0))</f>
        <v>00:0</v>
      </c>
    </row>
    <row r="13" spans="1:34" x14ac:dyDescent="0.25">
      <c r="A13" s="45"/>
      <c r="B13" s="46"/>
      <c r="C13" s="44"/>
      <c r="D13" s="12">
        <f t="shared" ref="D13:D17" si="9">F12</f>
        <v>1.3888888888888888E-2</v>
      </c>
      <c r="E13" s="10">
        <f t="shared" si="0"/>
        <v>6.9444444444444441E-3</v>
      </c>
      <c r="F13" s="32">
        <f t="shared" ref="F13:F17" si="10">D13+E13</f>
        <v>2.0833333333333332E-2</v>
      </c>
      <c r="G13" s="40"/>
      <c r="H13" s="12">
        <f>I12</f>
        <v>0.43055555555555552</v>
      </c>
      <c r="I13" s="13">
        <f>H13+P13</f>
        <v>0.43749999999999994</v>
      </c>
      <c r="J13" s="34"/>
      <c r="K13" s="15" t="s">
        <v>10</v>
      </c>
      <c r="L13" s="15" t="b">
        <f>IF(Allgemeines!$E$20&gt;=1,IF(Allgemeines!$E$40="x",CONCATENATE("SE ",K5),""))</f>
        <v>0</v>
      </c>
      <c r="M13" s="15"/>
      <c r="N13" s="15" t="b">
        <f>IF(Allgemeines!$E$20&gt;=1,IF(K13="Pause","",IF(M13=0,,ROUNDUP(M13/IFERROR(IF(MATCH(K13,Hilfstabelle!$A$1:$A$71,0)&gt;=1,IF(MID(K13,LEN(K13)-4,1)="D",Allgemeines!$E$23,IF(MID(K13,LEN(K13)-4,1)="C",Allgemeines!$E$24,IF(MID(K13,LEN(K13)-4,1)="B",Allgemeines!$E$25,IF(MID(K13,LEN(K13)-4,1)="A",Allgemeines!$E$26,IF(MID(K13,LEN(K13)-4,1)="S",Allgemeines!$E$27,)))))),""),0))))</f>
        <v>0</v>
      </c>
      <c r="O13" s="15" t="b">
        <f>IF(Allgemeines!$E$20&gt;=1,IFERROR(IF(MATCH(K13,Hilfstabelle!$A$1:$A$71,0)&gt;=1,IF(MID(K13,LEN(K13)-4,1)="D",3,IF(MID(K13,LEN(K13)-4,1)="C",4,5))),""))</f>
        <v>0</v>
      </c>
      <c r="P13" s="16">
        <f>IFERROR(IF(AND(P12=0,IF(IFERROR(FIND("Finale",L13,1),FALSE)=1,FALSE)),0,IF(AND(K13&lt;&gt;"Pause",L13&lt;&gt;"Finale",M13&gt;1),CONCATENATE("00:",O13*N13*Allgemeines!$E$33),IF(AND(K13="Pause",L12=1,IFERROR(FIND("SE",L13,1),0)),Allgemeines!$E$36*N11,IF(IFERROR(FIND("Finale",L13,1),0)&gt;0,TIME(0,20,0)*N13,IF(AND(K13="Pause",P12&lt;&gt;0),Allgemeines!$E$30,TIME(0,0,0)))))),TIME(0,0,0))</f>
        <v>6.9444444444444441E-3</v>
      </c>
      <c r="Q13" s="12">
        <f t="shared" si="5"/>
        <v>0.43055555555555552</v>
      </c>
      <c r="R13" s="13">
        <f>Q13+Y13</f>
        <v>0.43749999999999994</v>
      </c>
      <c r="S13" s="14"/>
      <c r="T13" s="15" t="s">
        <v>10</v>
      </c>
      <c r="U13" s="15" t="b">
        <f>IF(Allgemeines!$E$20&gt;=2,IF(Allgemeines!$E$40="x",CONCATENATE("SE ",T5),""))</f>
        <v>0</v>
      </c>
      <c r="V13" s="15"/>
      <c r="W13" s="15" t="b">
        <f>IF(Allgemeines!$E$20&gt;=2,IF(T13="Pause","",IF(V13=0,,ROUNDUP(V13/IFERROR(IF(MATCH(T13,Hilfstabelle!$A$1:$A$71,0)&gt;=1,IF(MID(T13,LEN(T13)-4,1)="D",Allgemeines!$E$23,IF(MID(T13,LEN(T13)-4,1)="C",Allgemeines!$E$24,IF(MID(T13,LEN(T13)-4,1)="B",Allgemeines!$E$25,IF(MID(T13,LEN(T13)-4,1)="A",Allgemeines!$E$26,IF(MID(T13,LEN(T13)-4,1)="S",Allgemeines!$E$27,)))))),""),0))))</f>
        <v>0</v>
      </c>
      <c r="X13" s="15" t="b">
        <f>IF(Allgemeines!$E$20&gt;=2,IFERROR(IF(MATCH(T13,Hilfstabelle!$A$1:$A$71,0)&gt;=1,IF(MID(T13,LEN(T13)-4,1)="D",3,IF(MID(T13,LEN(T13)-4,1)="C",4,5))),""))</f>
        <v>0</v>
      </c>
      <c r="Y13" s="16">
        <f>IFERROR(IF(AND(Y12=0,IF(IFERROR(FIND("Finale",U13,1),FALSE)=1,FALSE)),0,IF(AND(T13&lt;&gt;"Pause",U13&lt;&gt;"Finale",V13&gt;1),CONCATENATE("00:",X13*W13*Allgemeines!$E$33),IF(AND(T13="Pause",U12=1,IFERROR(FIND("SE",U13,1),0)),Allgemeines!$E$36*W11,IF(IFERROR(FIND("Finale",U13,1),0)&gt;0,TIME(0,20,0)*W13,IF(AND(T13="Pause",Y12&lt;&gt;0),Allgemeines!$E$30,TIME(0,0,0)))))),TIME(0,0,0))</f>
        <v>6.9444444444444441E-3</v>
      </c>
      <c r="Z13" s="12">
        <f t="shared" si="6"/>
        <v>0.43055555555555552</v>
      </c>
      <c r="AA13" s="13">
        <f>Z13+AH13</f>
        <v>0.43749999999999994</v>
      </c>
      <c r="AB13" s="14"/>
      <c r="AC13" s="15" t="s">
        <v>10</v>
      </c>
      <c r="AD13" s="15" t="b">
        <f>IF(Allgemeines!$E$20&gt;=3,IF(Allgemeines!$E$40="x",CONCATENATE("SE ",AC5),""))</f>
        <v>0</v>
      </c>
      <c r="AE13" s="15"/>
      <c r="AF13" s="15" t="b">
        <f>IF(Allgemeines!$E$20&gt;=3,IF(AC13="Pause","",IF(AE13=0,,ROUNDUP(AE13/IFERROR(IF(MATCH(AC13,Hilfstabelle!$A$1:$A$71,0)&gt;=1,IF(MID(AC13,LEN(AC13)-4,1)="D",Allgemeines!$E$23,IF(MID(AC13,LEN(AC13)-4,1)="C",Allgemeines!$E$24,IF(MID(AC13,LEN(AC13)-4,1)="B",Allgemeines!$E$25,IF(MID(AC13,LEN(AC13)-4,1)="A",Allgemeines!$E$26,IF(MID(AC13,LEN(AC13)-4,1)="S",Allgemeines!$E$27,)))))),""),0))))</f>
        <v>0</v>
      </c>
      <c r="AG13" s="15" t="b">
        <f>IF(Allgemeines!$E$20&gt;=3,IFERROR(IF(MATCH(AC13,Hilfstabelle!$A$1:$A$71,0)&gt;=1,IF(MID(AC13,LEN(AC13)-4,1)="D",3,IF(MID(AC13,LEN(AC13)-4,1)="C",4,5))),""))</f>
        <v>0</v>
      </c>
      <c r="AH13" s="16">
        <f>IFERROR(IF(AND(AH12=0,IF(IFERROR(FIND("Finale",AD13,1),FALSE)=1,FALSE)),0,IF(AND(AC13&lt;&gt;"Pause",AD13&lt;&gt;"Finale",AE13&gt;1),CONCATENATE("00:",AG13*AF13*Allgemeines!$E$33),IF(AND(AC13="Pause",AD12=1,IFERROR(FIND("SE",AD13,1),0)),Allgemeines!$E$36*AF11,IF(IFERROR(FIND("Finale",AD13,1),0)&gt;0,TIME(0,20,0)*AF13,IF(AND(AC13="Pause",AH12&lt;&gt;0),Allgemeines!$E$30,TIME(0,0,0)))))),TIME(0,0,0))</f>
        <v>6.9444444444444441E-3</v>
      </c>
    </row>
    <row r="14" spans="1:34" x14ac:dyDescent="0.25">
      <c r="A14" s="45"/>
      <c r="B14" s="43"/>
      <c r="C14" s="47"/>
      <c r="D14" s="12">
        <f t="shared" si="9"/>
        <v>2.0833333333333332E-2</v>
      </c>
      <c r="E14" s="10" t="str">
        <f t="shared" si="0"/>
        <v>00:0</v>
      </c>
      <c r="F14" s="32">
        <f t="shared" si="10"/>
        <v>2.0833333333333332E-2</v>
      </c>
      <c r="G14" s="40"/>
      <c r="H14" s="12">
        <f t="shared" ref="H14:H74" si="11">I13</f>
        <v>0.43749999999999994</v>
      </c>
      <c r="I14" s="13">
        <f t="shared" ref="I14:I18" si="12">H14+P14</f>
        <v>0.43749999999999994</v>
      </c>
      <c r="J14" s="34" t="str">
        <f>IF(Allgemeines!$E$20&gt;=1,IF(K14="","",1),"")</f>
        <v/>
      </c>
      <c r="K14" s="15" t="str">
        <f>K12</f>
        <v/>
      </c>
      <c r="L14" s="15">
        <v>2</v>
      </c>
      <c r="M14" s="15" t="b">
        <f>IF(Allgemeines!$E$20&gt;=1,IF(OR(ROUNDUP((M12/2)/6,0)*6=6,VLOOKUP(M12,Hilfstabelle!$F$2:$G$61,2,FALSE)&lt;=6,K14="Pause"),0,VLOOKUP(M12,Hilfstabelle!$F$2:$G$61,2,FALSE)))</f>
        <v>0</v>
      </c>
      <c r="N14" s="15" t="b">
        <f>IF(Allgemeines!$E$20&gt;=1,IF(K14="Pause","",IF(M14=0,,ROUNDUP(M14/IFERROR(IF(MATCH(K14,Hilfstabelle!$A$1:$A$71,0)&gt;=1,IF(MID(K14,LEN(K14)-4,1)="D",Allgemeines!$E$23,IF(MID(K14,LEN(K14)-4,1)="C",Allgemeines!$E$24,IF(MID(K14,LEN(K14)-4,1)="B",Allgemeines!$E$25,IF(MID(K14,LEN(K14)-4,1)="A",Allgemeines!$E$26,IF(MID(K14,LEN(K14)-4,1)="S",Allgemeines!$E$27,)))))),""),0))))</f>
        <v>0</v>
      </c>
      <c r="O14" s="15" t="b">
        <f>IF(Allgemeines!$E$20&gt;=1,IFERROR(IF(MATCH(K14,Hilfstabelle!$A$1:$A$71,0)&gt;=1,IF(MID(K14,LEN(K14)-4,1)="D",3,IF(MID(K14,LEN(K14)-4,1)="C",4,5))),""))</f>
        <v>0</v>
      </c>
      <c r="P14" s="16" t="str">
        <f>IFERROR(IF(AND(P13=0,IF(IFERROR(FIND("Finale",L14,1),FALSE)=1,FALSE)),0,IF(AND(K14&lt;&gt;"Pause",L14&lt;&gt;"Finale",M14&gt;1),CONCATENATE("00:",O14*N14*Allgemeines!$E$33),IF(AND(K14="Pause",L13=1,IFERROR(FIND("SE",L14,1),0)),Allgemeines!$E$36*N12,IF(IFERROR(FIND("Finale",L14,1),0)&gt;0,TIME(0,20,0)*N14,IF(AND(K14="Pause",P13&lt;&gt;0),Allgemeines!$E$30,TIME(0,0,0)))))),TIME(0,0,0))</f>
        <v>00:0</v>
      </c>
      <c r="Q14" s="12">
        <f t="shared" si="5"/>
        <v>0.43749999999999994</v>
      </c>
      <c r="R14" s="13">
        <f t="shared" ref="R14:R18" si="13">Q14+Y14</f>
        <v>0.43749999999999994</v>
      </c>
      <c r="S14" s="14" t="b">
        <f>IF(Allgemeines!$E$20&gt;=2,IF(T14="","",2))</f>
        <v>0</v>
      </c>
      <c r="T14" s="15" t="str">
        <f>T12</f>
        <v/>
      </c>
      <c r="U14" s="15">
        <v>2</v>
      </c>
      <c r="V14" s="15" t="b">
        <f>IF(Allgemeines!$E$20&gt;=2,IF(OR(ROUNDUP((V12/2)/6,0)*6=6,VLOOKUP(V12,Hilfstabelle!$F$2:$G$61,2,FALSE)&lt;=6,T14="Pause"),0,VLOOKUP(V12,Hilfstabelle!$F$2:$G$61,2,FALSE)))</f>
        <v>0</v>
      </c>
      <c r="W14" s="15" t="b">
        <f>IF(Allgemeines!$E$20&gt;=2,IF(T14="Pause","",IF(V14=0,,ROUNDUP(V14/IFERROR(IF(MATCH(T14,Hilfstabelle!$A$1:$A$71,0)&gt;=1,IF(MID(T14,LEN(T14)-4,1)="D",Allgemeines!$E$23,IF(MID(T14,LEN(T14)-4,1)="C",Allgemeines!$E$24,IF(MID(T14,LEN(T14)-4,1)="B",Allgemeines!$E$25,IF(MID(T14,LEN(T14)-4,1)="A",Allgemeines!$E$26,IF(MID(T14,LEN(T14)-4,1)="S",Allgemeines!$E$27,)))))),""),0))))</f>
        <v>0</v>
      </c>
      <c r="X14" s="15" t="b">
        <f>IF(Allgemeines!$E$20&gt;=2,IFERROR(IF(MATCH(T14,Hilfstabelle!$A$1:$A$71,0)&gt;=1,IF(MID(T14,LEN(T14)-4,1)="D",3,IF(MID(T14,LEN(T14)-4,1)="C",4,5))),""))</f>
        <v>0</v>
      </c>
      <c r="Y14" s="16" t="str">
        <f>IFERROR(IF(AND(Y13=0,IF(IFERROR(FIND("Finale",U14,1),FALSE)=1,FALSE)),0,IF(AND(T14&lt;&gt;"Pause",U14&lt;&gt;"Finale",V14&gt;1),CONCATENATE("00:",X14*W14*Allgemeines!$E$33),IF(AND(T14="Pause",U13=1,IFERROR(FIND("SE",U14,1),0)),Allgemeines!$E$36*W12,IF(IFERROR(FIND("Finale",U14,1),0)&gt;0,TIME(0,20,0)*W14,IF(AND(T14="Pause",Y13&lt;&gt;0),Allgemeines!$E$30,TIME(0,0,0)))))),TIME(0,0,0))</f>
        <v>00:0</v>
      </c>
      <c r="Z14" s="12">
        <f t="shared" si="6"/>
        <v>0.43749999999999994</v>
      </c>
      <c r="AA14" s="13">
        <f t="shared" ref="AA14:AA18" si="14">Z14+AH14</f>
        <v>0.43749999999999994</v>
      </c>
      <c r="AB14" s="14" t="b">
        <f>IF(Allgemeines!$E$20&gt;=3,IF(AC14="","",3))</f>
        <v>0</v>
      </c>
      <c r="AC14" s="15" t="str">
        <f>AC12</f>
        <v/>
      </c>
      <c r="AD14" s="15">
        <v>2</v>
      </c>
      <c r="AE14" s="15" t="b">
        <f>IF(Allgemeines!$E$20&gt;=3,IF(OR(ROUNDUP((AE12/2)/6,0)*6=6,VLOOKUP(AE12,Hilfstabelle!$F$2:$G$61,2,FALSE)&lt;=6,AC14="Pause"),0,VLOOKUP(AE12,Hilfstabelle!$F$2:$G$61,2,FALSE)))</f>
        <v>0</v>
      </c>
      <c r="AF14" s="15" t="b">
        <f>IF(Allgemeines!$E$20&gt;=3,IF(AC14="Pause","",IF(AE14=0,,ROUNDUP(AE14/IFERROR(IF(MATCH(AC14,Hilfstabelle!$A$1:$A$71,0)&gt;=1,IF(MID(AC14,LEN(AC14)-4,1)="D",Allgemeines!$E$23,IF(MID(AC14,LEN(AC14)-4,1)="C",Allgemeines!$E$24,IF(MID(AC14,LEN(AC14)-4,1)="B",Allgemeines!$E$25,IF(MID(AC14,LEN(AC14)-4,1)="A",Allgemeines!$E$26,IF(MID(AC14,LEN(AC14)-4,1)="S",Allgemeines!$E$27,)))))),""),0))))</f>
        <v>0</v>
      </c>
      <c r="AG14" s="15" t="b">
        <f>IF(Allgemeines!$E$20&gt;=3,IFERROR(IF(MATCH(AC14,Hilfstabelle!$A$1:$A$71,0)&gt;=1,IF(MID(AC14,LEN(AC14)-4,1)="D",3,IF(MID(AC14,LEN(AC14)-4,1)="C",4,5))),""))</f>
        <v>0</v>
      </c>
      <c r="AH14" s="16" t="str">
        <f>IFERROR(IF(AND(AH13=0,IF(IFERROR(FIND("Finale",AD14,1),FALSE)=1,FALSE)),0,IF(AND(AC14&lt;&gt;"Pause",AD14&lt;&gt;"Finale",AE14&gt;1),CONCATENATE("00:",AG14*AF14*Allgemeines!$E$33),IF(AND(AC14="Pause",AD13=1,IFERROR(FIND("SE",AD14,1),0)),Allgemeines!$E$36*AF12,IF(IFERROR(FIND("Finale",AD14,1),0)&gt;0,TIME(0,20,0)*AF14,IF(AND(AC14="Pause",AH13&lt;&gt;0),Allgemeines!$E$30,TIME(0,0,0)))))),TIME(0,0,0))</f>
        <v>00:0</v>
      </c>
    </row>
    <row r="15" spans="1:34" x14ac:dyDescent="0.25">
      <c r="A15" s="45"/>
      <c r="B15" s="43"/>
      <c r="C15" s="44"/>
      <c r="D15" s="12">
        <f t="shared" si="9"/>
        <v>2.0833333333333332E-2</v>
      </c>
      <c r="E15" s="10">
        <f t="shared" si="0"/>
        <v>6.9444444444444441E-3</v>
      </c>
      <c r="F15" s="32">
        <f t="shared" si="10"/>
        <v>2.7777777777777776E-2</v>
      </c>
      <c r="G15" s="40"/>
      <c r="H15" s="12">
        <f t="shared" si="11"/>
        <v>0.43749999999999994</v>
      </c>
      <c r="I15" s="13">
        <f t="shared" si="12"/>
        <v>0.44444444444444436</v>
      </c>
      <c r="J15" s="34"/>
      <c r="K15" s="15" t="s">
        <v>10</v>
      </c>
      <c r="L15" s="15"/>
      <c r="M15" s="15"/>
      <c r="N15" s="15" t="b">
        <f>IF(Allgemeines!$E$20&gt;=1,IF(K15="Pause","",IF(M15=0,,ROUNDUP(M15/IFERROR(IF(MATCH(K15,Hilfstabelle!$A$1:$A$71,0)&gt;=1,IF(MID(K15,LEN(K15)-4,1)="D",Allgemeines!$E$23,IF(MID(K15,LEN(K15)-4,1)="C",Allgemeines!$E$24,IF(MID(K15,LEN(K15)-4,1)="B",Allgemeines!$E$25,IF(MID(K15,LEN(K15)-4,1)="A",Allgemeines!$E$26,IF(MID(K15,LEN(K15)-4,1)="S",Allgemeines!$E$27,)))))),""),0))))</f>
        <v>0</v>
      </c>
      <c r="O15" s="15" t="b">
        <f>IF(Allgemeines!$E$20&gt;=1,IFERROR(IF(MATCH(K15,Hilfstabelle!$A$1:$A$71,0)&gt;=1,IF(MID(K15,LEN(K15)-4,1)="D",3,IF(MID(K15,LEN(K15)-4,1)="C",4,5))),""))</f>
        <v>0</v>
      </c>
      <c r="P15" s="16">
        <f>IFERROR(IF(AND(P14=0,IF(IFERROR(FIND("Finale",L15,1),FALSE)=1,FALSE)),0,IF(AND(K15&lt;&gt;"Pause",L15&lt;&gt;"Finale",M15&gt;1),CONCATENATE("00:",O15*N15*Allgemeines!$E$33),IF(AND(K15="Pause",L14=1,IFERROR(FIND("SE",L15,1),0)),Allgemeines!$E$36*N13,IF(IFERROR(FIND("Finale",L15,1),0)&gt;0,TIME(0,20,0)*N15,IF(AND(K15="Pause",P14&lt;&gt;0),Allgemeines!$E$30,TIME(0,0,0)))))),TIME(0,0,0))</f>
        <v>6.9444444444444441E-3</v>
      </c>
      <c r="Q15" s="12">
        <f t="shared" si="5"/>
        <v>0.43749999999999994</v>
      </c>
      <c r="R15" s="13">
        <f t="shared" si="13"/>
        <v>0.44444444444444436</v>
      </c>
      <c r="S15" s="14"/>
      <c r="T15" s="15" t="s">
        <v>10</v>
      </c>
      <c r="U15" s="15"/>
      <c r="V15" s="15"/>
      <c r="W15" s="15" t="b">
        <f>IF(Allgemeines!$E$20&gt;=2,IF(T15="Pause","",IF(V15=0,,ROUNDUP(V15/IFERROR(IF(MATCH(T15,Hilfstabelle!$A$1:$A$71,0)&gt;=1,IF(MID(T15,LEN(T15)-4,1)="D",Allgemeines!$E$23,IF(MID(T15,LEN(T15)-4,1)="C",Allgemeines!$E$24,IF(MID(T15,LEN(T15)-4,1)="B",Allgemeines!$E$25,IF(MID(T15,LEN(T15)-4,1)="A",Allgemeines!$E$26,IF(MID(T15,LEN(T15)-4,1)="S",Allgemeines!$E$27,)))))),""),0))))</f>
        <v>0</v>
      </c>
      <c r="X15" s="15" t="b">
        <f>IF(Allgemeines!$E$20&gt;=2,IFERROR(IF(MATCH(T15,Hilfstabelle!$A$1:$A$71,0)&gt;=1,IF(MID(T15,LEN(T15)-4,1)="D",3,IF(MID(T15,LEN(T15)-4,1)="C",4,5))),""))</f>
        <v>0</v>
      </c>
      <c r="Y15" s="16">
        <f>IFERROR(IF(AND(Y14=0,IF(IFERROR(FIND("Finale",U15,1),FALSE)=1,FALSE)),0,IF(AND(T15&lt;&gt;"Pause",U15&lt;&gt;"Finale",V15&gt;1),CONCATENATE("00:",X15*W15*Allgemeines!$E$33),IF(AND(T15="Pause",U14=1,IFERROR(FIND("SE",U15,1),0)),Allgemeines!$E$36*W13,IF(IFERROR(FIND("Finale",U15,1),0)&gt;0,TIME(0,20,0)*W15,IF(AND(T15="Pause",Y14&lt;&gt;0),Allgemeines!$E$30,TIME(0,0,0)))))),TIME(0,0,0))</f>
        <v>6.9444444444444441E-3</v>
      </c>
      <c r="Z15" s="12">
        <f t="shared" si="6"/>
        <v>0.43749999999999994</v>
      </c>
      <c r="AA15" s="13">
        <f t="shared" si="14"/>
        <v>0.44444444444444436</v>
      </c>
      <c r="AB15" s="14"/>
      <c r="AC15" s="15" t="s">
        <v>10</v>
      </c>
      <c r="AD15" s="15"/>
      <c r="AE15" s="15"/>
      <c r="AF15" s="15" t="b">
        <f>IF(Allgemeines!$E$20&gt;=3,IF(AC15="Pause","",IF(AE15=0,,ROUNDUP(AE15/IFERROR(IF(MATCH(AC15,Hilfstabelle!$A$1:$A$71,0)&gt;=1,IF(MID(AC15,LEN(AC15)-4,1)="D",Allgemeines!$E$23,IF(MID(AC15,LEN(AC15)-4,1)="C",Allgemeines!$E$24,IF(MID(AC15,LEN(AC15)-4,1)="B",Allgemeines!$E$25,IF(MID(AC15,LEN(AC15)-4,1)="A",Allgemeines!$E$26,IF(MID(AC15,LEN(AC15)-4,1)="S",Allgemeines!$E$27,)))))),""),0))))</f>
        <v>0</v>
      </c>
      <c r="AG15" s="15" t="b">
        <f>IF(Allgemeines!$E$20&gt;=3,IFERROR(IF(MATCH(AC15,Hilfstabelle!$A$1:$A$71,0)&gt;=1,IF(MID(AC15,LEN(AC15)-4,1)="D",3,IF(MID(AC15,LEN(AC15)-4,1)="C",4,5))),""))</f>
        <v>0</v>
      </c>
      <c r="AH15" s="16">
        <f>IFERROR(IF(AND(AH14=0,IF(IFERROR(FIND("Finale",AD15,1),FALSE)=1,FALSE)),0,IF(AND(AC15&lt;&gt;"Pause",AD15&lt;&gt;"Finale",AE15&gt;1),CONCATENATE("00:",AG15*AF15*Allgemeines!$E$33),IF(AND(AC15="Pause",AD14=1,IFERROR(FIND("SE",AD15,1),0)),Allgemeines!$E$36*AF13,IF(IFERROR(FIND("Finale",AD15,1),0)&gt;0,TIME(0,20,0)*AF15,IF(AND(AC15="Pause",AH14&lt;&gt;0),Allgemeines!$E$30,TIME(0,0,0)))))),TIME(0,0,0))</f>
        <v>6.9444444444444441E-3</v>
      </c>
    </row>
    <row r="16" spans="1:34" x14ac:dyDescent="0.25">
      <c r="A16" s="45"/>
      <c r="B16" s="43"/>
      <c r="C16" s="44"/>
      <c r="D16" s="12">
        <f t="shared" si="9"/>
        <v>2.7777777777777776E-2</v>
      </c>
      <c r="E16" s="10" t="str">
        <f t="shared" si="0"/>
        <v>00:0</v>
      </c>
      <c r="F16" s="32">
        <f t="shared" si="10"/>
        <v>2.7777777777777776E-2</v>
      </c>
      <c r="G16" s="40"/>
      <c r="H16" s="12">
        <f t="shared" si="11"/>
        <v>0.44444444444444436</v>
      </c>
      <c r="I16" s="13">
        <f t="shared" si="12"/>
        <v>0.44444444444444436</v>
      </c>
      <c r="J16" s="34" t="str">
        <f>IF(Allgemeines!$E$20&gt;=1,IF(K16="","",1),"")</f>
        <v/>
      </c>
      <c r="K16" s="15" t="str">
        <f>K12</f>
        <v/>
      </c>
      <c r="L16" s="15">
        <v>3</v>
      </c>
      <c r="M16" s="15" t="b">
        <f>IF(Allgemeines!$E$20&gt;=1,IFERROR(IF(OR(ROUNDUP((M14/2)/6,0)*6=6,VLOOKUP(M14,Hilfstabelle!$F$2:$G$61,2,FALSE)&lt;6,K16="Pause"),0,VLOOKUP(M14,Hilfstabelle!$F$2:$G$61,2,FALSE)),0))</f>
        <v>0</v>
      </c>
      <c r="N16" s="15" t="b">
        <f>IF(Allgemeines!$E$20&gt;=1,IF(K16="Pause","",IF(M16=0,,ROUNDUP(M16/IFERROR(IF(MATCH(K16,Hilfstabelle!$A$1:$A$71,0)&gt;=1,IF(MID(K16,LEN(K16)-4,1)="D",Allgemeines!$E$23,IF(MID(K16,LEN(K16)-4,1)="C",Allgemeines!$E$24,IF(MID(K16,LEN(K16)-4,1)="B",Allgemeines!$E$25,IF(MID(K16,LEN(K16)-4,1)="A",Allgemeines!$E$26,IF(MID(K16,LEN(K16)-4,1)="S",Allgemeines!$E$27,)))))),""),0))))</f>
        <v>0</v>
      </c>
      <c r="O16" s="15" t="b">
        <f>IF(Allgemeines!$E$20&gt;=1,IFERROR(IF(MATCH(K16,Hilfstabelle!$A$1:$A$71,0)&gt;=1,IF(MID(K16,LEN(K16)-4,1)="D",3,IF(MID(K16,LEN(K16)-4,1)="C",4,5))),""))</f>
        <v>0</v>
      </c>
      <c r="P16" s="16" t="str">
        <f>IFERROR(IF(AND(P15=0,IF(IFERROR(FIND("Finale",L16,1),FALSE)=1,FALSE)),0,IF(AND(K16&lt;&gt;"Pause",L16&lt;&gt;"Finale",M16&gt;1),CONCATENATE("00:",O16*N16*Allgemeines!$E$33),IF(AND(K16="Pause",L15=1,IFERROR(FIND("SE",L16,1),0)),Allgemeines!$E$36*N14,IF(IFERROR(FIND("Finale",L16,1),0)&gt;0,TIME(0,20,0)*N16,IF(AND(K16="Pause",P15&lt;&gt;0),Allgemeines!$E$30,TIME(0,0,0)))))),TIME(0,0,0))</f>
        <v>00:0</v>
      </c>
      <c r="Q16" s="12">
        <f t="shared" si="5"/>
        <v>0.44444444444444436</v>
      </c>
      <c r="R16" s="13">
        <f t="shared" si="13"/>
        <v>0.44444444444444436</v>
      </c>
      <c r="S16" s="14" t="b">
        <f>IF(Allgemeines!$E$20&gt;=2,IF(T16="","",2))</f>
        <v>0</v>
      </c>
      <c r="T16" s="15" t="str">
        <f>T12</f>
        <v/>
      </c>
      <c r="U16" s="15">
        <v>3</v>
      </c>
      <c r="V16" s="15" t="str">
        <f>IF(Allgemeines!$E$20&gt;=2,IFERROR(IF(OR(ROUNDUP((V14/2)/6,0)*6=6,VLOOKUP(V14,Hilfstabelle!$F$2:$G$61,2,FALSE)&lt;6,T16="Pause"),0,VLOOKUP(V14,Hilfstabelle!$F$2:$G$61,2,FALSE)),0),"")</f>
        <v/>
      </c>
      <c r="W16" s="15" t="b">
        <f>IF(Allgemeines!$E$20&gt;=2,IF(T16="Pause","",IF(V16=0,,ROUNDUP(V16/IFERROR(IF(MATCH(T16,Hilfstabelle!$A$1:$A$71,0)&gt;=1,IF(MID(T16,LEN(T16)-4,1)="D",Allgemeines!$E$23,IF(MID(T16,LEN(T16)-4,1)="C",Allgemeines!$E$24,IF(MID(T16,LEN(T16)-4,1)="B",Allgemeines!$E$25,IF(MID(T16,LEN(T16)-4,1)="A",Allgemeines!$E$26,IF(MID(T16,LEN(T16)-4,1)="S",Allgemeines!$E$27,)))))),""),0))))</f>
        <v>0</v>
      </c>
      <c r="X16" s="15" t="b">
        <f>IF(Allgemeines!$E$20&gt;=2,IFERROR(IF(MATCH(T16,Hilfstabelle!$A$1:$A$71,0)&gt;=1,IF(MID(T16,LEN(T16)-4,1)="D",3,IF(MID(T16,LEN(T16)-4,1)="C",4,5))),""))</f>
        <v>0</v>
      </c>
      <c r="Y16" s="16" t="str">
        <f>IFERROR(IF(AND(Y15=0,IF(IFERROR(FIND("Finale",U16,1),FALSE)=1,FALSE)),0,IF(AND(T16&lt;&gt;"Pause",U16&lt;&gt;"Finale",V16&gt;1),CONCATENATE("00:",X16*W16*Allgemeines!$E$33),IF(AND(T16="Pause",U15=1,IFERROR(FIND("SE",U16,1),0)),Allgemeines!$E$36*W14,IF(IFERROR(FIND("Finale",U16,1),0)&gt;0,TIME(0,20,0)*W16,IF(AND(T16="Pause",Y15&lt;&gt;0),Allgemeines!$E$30,TIME(0,0,0)))))),TIME(0,0,0))</f>
        <v>00:0</v>
      </c>
      <c r="Z16" s="12">
        <f t="shared" si="6"/>
        <v>0.44444444444444436</v>
      </c>
      <c r="AA16" s="13">
        <f t="shared" si="14"/>
        <v>0.44444444444444436</v>
      </c>
      <c r="AB16" s="14" t="b">
        <f>IF(Allgemeines!$E$20&gt;=3,IF(AC16="","",3))</f>
        <v>0</v>
      </c>
      <c r="AC16" s="15" t="str">
        <f>AC12</f>
        <v/>
      </c>
      <c r="AD16" s="15">
        <v>3</v>
      </c>
      <c r="AE16" s="15" t="str">
        <f>IF(Allgemeines!$E$20&gt;=3,IFERROR(IF(OR(ROUNDUP((AE14/2)/6,0)*6=6,VLOOKUP(AE14,Hilfstabelle!$F$2:$G$61,2,FALSE)&lt;6,AC16="Pause"),0,VLOOKUP(AE14,Hilfstabelle!$F$2:$G$61,2,FALSE)),0),"")</f>
        <v/>
      </c>
      <c r="AF16" s="15" t="b">
        <f>IF(Allgemeines!$E$20&gt;=3,IF(AC16="Pause","",IF(AE16=0,,ROUNDUP(AE16/IFERROR(IF(MATCH(AC16,Hilfstabelle!$A$1:$A$71,0)&gt;=1,IF(MID(AC16,LEN(AC16)-4,1)="D",Allgemeines!$E$23,IF(MID(AC16,LEN(AC16)-4,1)="C",Allgemeines!$E$24,IF(MID(AC16,LEN(AC16)-4,1)="B",Allgemeines!$E$25,IF(MID(AC16,LEN(AC16)-4,1)="A",Allgemeines!$E$26,IF(MID(AC16,LEN(AC16)-4,1)="S",Allgemeines!$E$27,)))))),""),0))))</f>
        <v>0</v>
      </c>
      <c r="AG16" s="15" t="b">
        <f>IF(Allgemeines!$E$20&gt;=3,IFERROR(IF(MATCH(AC16,Hilfstabelle!$A$1:$A$71,0)&gt;=1,IF(MID(AC16,LEN(AC16)-4,1)="D",3,IF(MID(AC16,LEN(AC16)-4,1)="C",4,5))),""))</f>
        <v>0</v>
      </c>
      <c r="AH16" s="16" t="str">
        <f>IFERROR(IF(AND(AH15=0,IF(IFERROR(FIND("Finale",AD16,1),FALSE)=1,FALSE)),0,IF(AND(AC16&lt;&gt;"Pause",AD16&lt;&gt;"Finale",AE16&gt;1),CONCATENATE("00:",AG16*AF16*Allgemeines!$E$33),IF(AND(AC16="Pause",AD15=1,IFERROR(FIND("SE",AD16,1),0)),Allgemeines!$E$36*AF14,IF(IFERROR(FIND("Finale",AD16,1),0)&gt;0,TIME(0,20,0)*AF16,IF(AND(AC16="Pause",AH15&lt;&gt;0),Allgemeines!$E$30,TIME(0,0,0)))))),TIME(0,0,0))</f>
        <v>00:0</v>
      </c>
    </row>
    <row r="17" spans="1:34" x14ac:dyDescent="0.25">
      <c r="A17" s="45"/>
      <c r="B17" s="43"/>
      <c r="C17" s="44"/>
      <c r="D17" s="12">
        <f t="shared" si="9"/>
        <v>2.7777777777777776E-2</v>
      </c>
      <c r="E17" s="10">
        <f t="shared" si="0"/>
        <v>6.9444444444444441E-3</v>
      </c>
      <c r="F17" s="32">
        <f t="shared" si="10"/>
        <v>3.4722222222222224E-2</v>
      </c>
      <c r="G17" s="40"/>
      <c r="H17" s="12">
        <f t="shared" si="11"/>
        <v>0.44444444444444436</v>
      </c>
      <c r="I17" s="13">
        <f t="shared" si="12"/>
        <v>0.45138888888888878</v>
      </c>
      <c r="J17" s="34"/>
      <c r="K17" s="15" t="s">
        <v>10</v>
      </c>
      <c r="L17" s="15"/>
      <c r="M17" s="15"/>
      <c r="N17" s="15" t="b">
        <f>IF(Allgemeines!$E$20&gt;=1,IF(K17="Pause","",IF(M17=0,,ROUNDUP(M17/IFERROR(IF(MATCH(K17,Hilfstabelle!$A$1:$A$71,0)&gt;=1,IF(MID(K17,LEN(K17)-4,1)="D",Allgemeines!$E$23,IF(MID(K17,LEN(K17)-4,1)="C",Allgemeines!$E$24,IF(MID(K17,LEN(K17)-4,1)="B",Allgemeines!$E$25,IF(MID(K17,LEN(K17)-4,1)="A",Allgemeines!$E$26,IF(MID(K17,LEN(K17)-4,1)="S",Allgemeines!$E$27,)))))),""),0))))</f>
        <v>0</v>
      </c>
      <c r="O17" s="15" t="b">
        <f>IF(Allgemeines!$E$20&gt;=1,IFERROR(IF(MATCH(K17,Hilfstabelle!$A$1:$A$71,0)&gt;=1,IF(MID(K17,LEN(K17)-4,1)="D",3,IF(MID(K17,LEN(K17)-4,1)="C",4,5))),""))</f>
        <v>0</v>
      </c>
      <c r="P17" s="16">
        <f>IFERROR(IF(AND(P16=0,IF(IFERROR(FIND("Finale",L17,1),FALSE)=1,FALSE)),0,IF(AND(K17&lt;&gt;"Pause",L17&lt;&gt;"Finale",M17&gt;1),CONCATENATE("00:",O17*N17*Allgemeines!$E$33),IF(AND(K17="Pause",L16=1,IFERROR(FIND("SE",L17,1),0)),Allgemeines!$E$36*N15,IF(IFERROR(FIND("Finale",L17,1),0)&gt;0,TIME(0,20,0)*N17,IF(AND(K17="Pause",P16&lt;&gt;0),Allgemeines!$E$30,TIME(0,0,0)))))),TIME(0,0,0))</f>
        <v>6.9444444444444441E-3</v>
      </c>
      <c r="Q17" s="12">
        <f t="shared" si="5"/>
        <v>0.44444444444444436</v>
      </c>
      <c r="R17" s="13">
        <f t="shared" si="13"/>
        <v>0.45138888888888878</v>
      </c>
      <c r="S17" s="14"/>
      <c r="T17" s="15" t="s">
        <v>10</v>
      </c>
      <c r="U17" s="15"/>
      <c r="V17" s="15"/>
      <c r="W17" s="15" t="b">
        <f>IF(Allgemeines!$E$20&gt;=2,IF(T17="Pause","",IF(V17=0,,ROUNDUP(V17/IFERROR(IF(MATCH(T17,Hilfstabelle!$A$1:$A$71,0)&gt;=1,IF(MID(T17,LEN(T17)-4,1)="D",Allgemeines!$E$23,IF(MID(T17,LEN(T17)-4,1)="C",Allgemeines!$E$24,IF(MID(T17,LEN(T17)-4,1)="B",Allgemeines!$E$25,IF(MID(T17,LEN(T17)-4,1)="A",Allgemeines!$E$26,IF(MID(T17,LEN(T17)-4,1)="S",Allgemeines!$E$27,)))))),""),0))))</f>
        <v>0</v>
      </c>
      <c r="X17" s="15" t="b">
        <f>IF(Allgemeines!$E$20&gt;=2,IFERROR(IF(MATCH(T17,Hilfstabelle!$A$1:$A$71,0)&gt;=1,IF(MID(T17,LEN(T17)-4,1)="D",3,IF(MID(T17,LEN(T17)-4,1)="C",4,5))),""))</f>
        <v>0</v>
      </c>
      <c r="Y17" s="16">
        <f>IFERROR(IF(AND(Y16=0,IF(IFERROR(FIND("Finale",U17,1),FALSE)=1,FALSE)),0,IF(AND(T17&lt;&gt;"Pause",U17&lt;&gt;"Finale",V17&gt;1),CONCATENATE("00:",X17*W17*Allgemeines!$E$33),IF(AND(T17="Pause",U16=1,IFERROR(FIND("SE",U17,1),0)),Allgemeines!$E$36*W15,IF(IFERROR(FIND("Finale",U17,1),0)&gt;0,TIME(0,20,0)*W17,IF(AND(T17="Pause",Y16&lt;&gt;0),Allgemeines!$E$30,TIME(0,0,0)))))),TIME(0,0,0))</f>
        <v>6.9444444444444441E-3</v>
      </c>
      <c r="Z17" s="12">
        <f t="shared" si="6"/>
        <v>0.44444444444444436</v>
      </c>
      <c r="AA17" s="13">
        <f t="shared" si="14"/>
        <v>0.45138888888888878</v>
      </c>
      <c r="AB17" s="14"/>
      <c r="AC17" s="15" t="s">
        <v>10</v>
      </c>
      <c r="AD17" s="15"/>
      <c r="AE17" s="15"/>
      <c r="AF17" s="15" t="b">
        <f>IF(Allgemeines!$E$20&gt;=3,IF(AC17="Pause","",IF(AE17=0,,ROUNDUP(AE17/IFERROR(IF(MATCH(AC17,Hilfstabelle!$A$1:$A$71,0)&gt;=1,IF(MID(AC17,LEN(AC17)-4,1)="D",Allgemeines!$E$23,IF(MID(AC17,LEN(AC17)-4,1)="C",Allgemeines!$E$24,IF(MID(AC17,LEN(AC17)-4,1)="B",Allgemeines!$E$25,IF(MID(AC17,LEN(AC17)-4,1)="A",Allgemeines!$E$26,IF(MID(AC17,LEN(AC17)-4,1)="S",Allgemeines!$E$27,)))))),""),0))))</f>
        <v>0</v>
      </c>
      <c r="AG17" s="15" t="b">
        <f>IF(Allgemeines!$E$20&gt;=3,IFERROR(IF(MATCH(AC17,Hilfstabelle!$A$1:$A$71,0)&gt;=1,IF(MID(AC17,LEN(AC17)-4,1)="D",3,IF(MID(AC17,LEN(AC17)-4,1)="C",4,5))),""))</f>
        <v>0</v>
      </c>
      <c r="AH17" s="16">
        <f>IFERROR(IF(AND(AH16=0,IF(IFERROR(FIND("Finale",AD17,1),FALSE)=1,FALSE)),0,IF(AND(AC17&lt;&gt;"Pause",AD17&lt;&gt;"Finale",AE17&gt;1),CONCATENATE("00:",AG17*AF17*Allgemeines!$E$33),IF(AND(AC17="Pause",AD16=1,IFERROR(FIND("SE",AD17,1),0)),Allgemeines!$E$36*AF15,IF(IFERROR(FIND("Finale",AD17,1),0)&gt;0,TIME(0,20,0)*AF17,IF(AND(AC17="Pause",AH16&lt;&gt;0),Allgemeines!$E$30,TIME(0,0,0)))))),TIME(0,0,0))</f>
        <v>6.9444444444444441E-3</v>
      </c>
    </row>
    <row r="18" spans="1:34" x14ac:dyDescent="0.25">
      <c r="A18" s="48"/>
      <c r="B18" s="49"/>
      <c r="C18" s="50">
        <f>A12+B12</f>
        <v>0</v>
      </c>
      <c r="D18" s="19">
        <f>F17</f>
        <v>3.4722222222222224E-2</v>
      </c>
      <c r="E18" s="17" t="str">
        <f t="shared" si="0"/>
        <v>00:0</v>
      </c>
      <c r="F18" s="37">
        <f>D18+E18</f>
        <v>3.4722222222222224E-2</v>
      </c>
      <c r="G18" s="41">
        <f>F18-D12</f>
        <v>2.0833333333333336E-2</v>
      </c>
      <c r="H18" s="19">
        <f>I17</f>
        <v>0.45138888888888878</v>
      </c>
      <c r="I18" s="33">
        <f t="shared" si="12"/>
        <v>0.45138888888888878</v>
      </c>
      <c r="J18" s="35" t="str">
        <f>IF(Allgemeines!$E$20&gt;=1,IF(K18="","",1),"")</f>
        <v/>
      </c>
      <c r="K18" s="21" t="str">
        <f>K12</f>
        <v/>
      </c>
      <c r="L18" s="21" t="str">
        <f>IF(Allgemeines!$E$20&gt;=1,IF(Allgemeines!$E$39="x","Finale + SE","Finale"),"")</f>
        <v/>
      </c>
      <c r="M18" s="21" t="b">
        <f>IF(Allgemeines!$E$20&gt;=1,IF(M12&gt;6,6,M12))</f>
        <v>0</v>
      </c>
      <c r="N18" s="21" t="b">
        <f>IF(Allgemeines!$E$20&gt;=1,IF(K18="Pause","",IF(M18=0,,ROUNDUP(M18/IFERROR(IF(MATCH(K18,Hilfstabelle!$A$1:$A$71,0)&gt;=1,IF(MID(K18,LEN(K18)-4,1)="D",Allgemeines!$E$23,IF(MID(K18,LEN(K18)-4,1)="C",Allgemeines!$E$24,IF(MID(K18,LEN(K18)-4,1)="B",Allgemeines!$E$25,IF(MID(K18,LEN(K18)-4,1)="A",Allgemeines!$E$26,IF(MID(K18,LEN(K18)-4,1)="S",Allgemeines!$E$27,)))))),""),0))))</f>
        <v>0</v>
      </c>
      <c r="O18" s="21" t="b">
        <f>IF(Allgemeines!$E$20&gt;=1,IFERROR(IF(MATCH(K18,Hilfstabelle!$A$1:$A$71,0)&gt;=1,IF(MID(K18,LEN(K18)-4,1)="D",3,IF(MID(K18,LEN(K18)-4,1)="C",4,5))),""))</f>
        <v>0</v>
      </c>
      <c r="P18" s="22" t="str">
        <f>IFERROR(IF(AND(P17=0,IF(IFERROR(FIND("Finale",L18,1),FALSE)=1,FALSE)),0,IF(AND(K18&lt;&gt;"Pause",L18&lt;&gt;"Finale",M18&gt;1),CONCATENATE("00:",O18*N18*Allgemeines!$E$33),IF(AND(K18="Pause",L17=1,IFERROR(FIND("SE",L18,1),0)),Allgemeines!$E$36*N16,IF(IFERROR(FIND("Finale",L18,1),0)&gt;0,TIME(0,20,0)*N18,IF(AND(K18="Pause",P17&lt;&gt;0),Allgemeines!$E$30,TIME(0,0,0)))))),TIME(0,0,0))</f>
        <v>00:0</v>
      </c>
      <c r="Q18" s="19">
        <f>R17</f>
        <v>0.45138888888888878</v>
      </c>
      <c r="R18" s="18">
        <f t="shared" si="13"/>
        <v>0.45138888888888878</v>
      </c>
      <c r="S18" s="20" t="str">
        <f>IF(T18="","",2)</f>
        <v/>
      </c>
      <c r="T18" s="21" t="str">
        <f>T12</f>
        <v/>
      </c>
      <c r="U18" s="21" t="str">
        <f>IF(Allgemeines!$E$20&gt;=2,IF(Allgemeines!$E$39="x","Finale + SE","Finale"),"")</f>
        <v/>
      </c>
      <c r="V18" s="21" t="str">
        <f>IF(Allgemeines!$E$20&gt;=2,IF(V12&gt;6,6,V12),"")</f>
        <v/>
      </c>
      <c r="W18" s="21" t="b">
        <f>IF(Allgemeines!$E$20&gt;=2,IF(T18="Pause","",IF(V18=0,,ROUNDUP(V18/IFERROR(IF(MATCH(T18,Hilfstabelle!$A$1:$A$71,0)&gt;=1,IF(MID(T18,LEN(T18)-4,1)="D",Allgemeines!$E$23,IF(MID(T18,LEN(T18)-4,1)="C",Allgemeines!$E$24,IF(MID(T18,LEN(T18)-4,1)="B",Allgemeines!$E$25,IF(MID(T18,LEN(T18)-4,1)="A",Allgemeines!$E$26,IF(MID(T18,LEN(T18)-4,1)="S",Allgemeines!$E$27,)))))),""),0))))</f>
        <v>0</v>
      </c>
      <c r="X18" s="21" t="b">
        <f>IF(Allgemeines!$E$20&gt;=2,IFERROR(IF(MATCH(T18,Hilfstabelle!$A$1:$A$71,0)&gt;=1,IF(MID(T18,LEN(T18)-4,1)="D",3,IF(MID(T18,LEN(T18)-4,1)="C",4,5))),""))</f>
        <v>0</v>
      </c>
      <c r="Y18" s="22" t="str">
        <f>IFERROR(IF(AND(Y17=0,IF(IFERROR(FIND("Finale",U18,1),FALSE)=1,FALSE)),0,IF(AND(T18&lt;&gt;"Pause",U18&lt;&gt;"Finale",V18&gt;1),CONCATENATE("00:",X18*W18*Allgemeines!$E$33),IF(AND(T18="Pause",U17=1,IFERROR(FIND("SE",U18,1),0)),Allgemeines!$E$36*W16,IF(IFERROR(FIND("Finale",U18,1),0)&gt;0,TIME(0,20,0)*W18,IF(AND(T18="Pause",Y17&lt;&gt;0),Allgemeines!$E$30,TIME(0,0,0)))))),TIME(0,0,0))</f>
        <v>00:0</v>
      </c>
      <c r="Z18" s="19">
        <f>AA17</f>
        <v>0.45138888888888878</v>
      </c>
      <c r="AA18" s="18">
        <f t="shared" si="14"/>
        <v>0.45138888888888878</v>
      </c>
      <c r="AB18" s="20" t="str">
        <f>IF(AC18="","",3)</f>
        <v/>
      </c>
      <c r="AC18" s="21" t="str">
        <f>AC12</f>
        <v/>
      </c>
      <c r="AD18" s="21" t="str">
        <f>IF(Allgemeines!$E$20&gt;=3,IF(Allgemeines!$E$39="x","Finale + SE","Finale"),"")</f>
        <v/>
      </c>
      <c r="AE18" s="21" t="str">
        <f>IF(Allgemeines!$E$20&gt;=3,IF(AE12&gt;6,6,AE12),"")</f>
        <v/>
      </c>
      <c r="AF18" s="21" t="b">
        <f>IF(Allgemeines!$E$20&gt;=3,IF(AC18="Pause","",IF(AE18=0,,ROUNDUP(AE18/IFERROR(IF(MATCH(AC18,Hilfstabelle!$A$1:$A$71,0)&gt;=1,IF(MID(AC18,LEN(AC18)-4,1)="D",Allgemeines!$E$23,IF(MID(AC18,LEN(AC18)-4,1)="C",Allgemeines!$E$24,IF(MID(AC18,LEN(AC18)-4,1)="B",Allgemeines!$E$25,IF(MID(AC18,LEN(AC18)-4,1)="A",Allgemeines!$E$26,IF(MID(AC18,LEN(AC18)-4,1)="S",Allgemeines!$E$27,)))))),""),0))))</f>
        <v>0</v>
      </c>
      <c r="AG18" s="21" t="b">
        <f>IF(Allgemeines!$E$20&gt;=3,IFERROR(IF(MATCH(AC18,Hilfstabelle!$A$1:$A$71,0)&gt;=1,IF(MID(AC18,LEN(AC18)-4,1)="D",3,IF(MID(AC18,LEN(AC18)-4,1)="C",4,5))),""))</f>
        <v>0</v>
      </c>
      <c r="AH18" s="22" t="str">
        <f>IFERROR(IF(AND(AH17=0,IF(IFERROR(FIND("Finale",AD18,1),FALSE)=1,FALSE)),0,IF(AND(AC18&lt;&gt;"Pause",AD18&lt;&gt;"Finale",AE18&gt;1),CONCATENATE("00:",AG18*AF18*Allgemeines!$E$33),IF(AND(AC18="Pause",AD17=1,IFERROR(FIND("SE",AD18,1),0)),Allgemeines!$E$36*AF16,IF(IFERROR(FIND("Finale",AD18,1),0)&gt;0,TIME(0,20,0)*AF18,IF(AND(AC18="Pause",AH17&lt;&gt;0),Allgemeines!$E$30,TIME(0,0,0)))))),TIME(0,0,0))</f>
        <v>00:0</v>
      </c>
    </row>
    <row r="19" spans="1:34" x14ac:dyDescent="0.25">
      <c r="A19" s="42">
        <f>Allgemeines!$B$7</f>
        <v>0</v>
      </c>
      <c r="B19" s="43">
        <f>Allgemeines!$C$7-Allgemeines!$B$7</f>
        <v>0</v>
      </c>
      <c r="C19" s="44"/>
      <c r="D19" s="36">
        <f>F18</f>
        <v>3.4722222222222224E-2</v>
      </c>
      <c r="E19" s="11" t="str">
        <f t="shared" si="0"/>
        <v>00:0</v>
      </c>
      <c r="F19" s="30">
        <f>D19+E19</f>
        <v>3.4722222222222224E-2</v>
      </c>
      <c r="G19" s="39"/>
      <c r="H19" s="12">
        <f t="shared" si="11"/>
        <v>0.45138888888888878</v>
      </c>
      <c r="I19" s="13">
        <f>H19+P19</f>
        <v>0.45138888888888878</v>
      </c>
      <c r="J19" s="34" t="str">
        <f>IF(Allgemeines!$E$20&gt;=1,IF(K19="","",1),"")</f>
        <v/>
      </c>
      <c r="K19" s="15" t="str">
        <f>IF(Allgemeines!$E$20&gt;=1,Allgemeines!$D$7,"")</f>
        <v/>
      </c>
      <c r="L19" s="15">
        <v>1</v>
      </c>
      <c r="M19" s="15" t="b">
        <f>IF(Allgemeines!$E$20&gt;=1,Allgemeines!$E$7)</f>
        <v>0</v>
      </c>
      <c r="N19" s="15" t="b">
        <f>IF(Allgemeines!$E$20&gt;=1,IF(K19="Pause","",IF(M19=0,,ROUNDUP(M19/IFERROR(IF(MATCH(K19,Hilfstabelle!$A$1:$A$71,0)&gt;=1,IF(MID(K19,LEN(K19)-4,1)="D",Allgemeines!$E$23,IF(MID(K19,LEN(K19)-4,1)="C",Allgemeines!$E$24,IF(MID(K19,LEN(K19)-4,1)="B",Allgemeines!$E$25,IF(MID(K19,LEN(K19)-4,1)="A",Allgemeines!$E$26,IF(MID(K19,LEN(K19)-4,1)="S",Allgemeines!$E$27,)))))),""),0))))</f>
        <v>0</v>
      </c>
      <c r="O19" s="15" t="b">
        <f>IF(Allgemeines!$E$20&gt;=1,IFERROR(IF(MATCH(K19,Hilfstabelle!$A$1:$A$71,0)&gt;=1,IF(MID(K19,LEN(K19)-4,1)="D",3,IF(MID(K19,LEN(K19)-4,1)="C",4,5))),""))</f>
        <v>0</v>
      </c>
      <c r="P19" s="16" t="str">
        <f>IFERROR(IF(AND(P18=0,IF(IFERROR(FIND("Finale",L19,1),FALSE)=1,FALSE)),0,IF(AND(K19&lt;&gt;"Pause",L19&lt;&gt;"Finale",M19&gt;1),CONCATENATE("00:",O19*N19*Allgemeines!$E$33),IF(AND(K19="Pause",L18=1,IFERROR(FIND("SE",L19,1),0)),Allgemeines!$E$36*N17,IF(IFERROR(FIND("Finale",L19,1),0)&gt;0,TIME(0,20,0)*N19,IF(AND(K19="Pause",P18&lt;&gt;0),Allgemeines!$E$30,TIME(0,0,0)))))),TIME(0,0,0))</f>
        <v>00:0</v>
      </c>
      <c r="Q19" s="12">
        <f t="shared" si="5"/>
        <v>0.45138888888888878</v>
      </c>
      <c r="R19" s="13">
        <f>Q19+Y19</f>
        <v>0.45138888888888878</v>
      </c>
      <c r="S19" s="14" t="b">
        <f>IF(Allgemeines!$E$20&gt;=2,IF(T19="","",2))</f>
        <v>0</v>
      </c>
      <c r="T19" s="15" t="str">
        <f>IF(Allgemeines!$E$20&gt;=2,Allgemeines!$F$7,"")</f>
        <v/>
      </c>
      <c r="U19" s="15">
        <v>1</v>
      </c>
      <c r="V19" s="15" t="b">
        <f>IF(Allgemeines!$E$20&gt;=2,Allgemeines!$G$7)</f>
        <v>0</v>
      </c>
      <c r="W19" s="15" t="b">
        <f>IF(Allgemeines!$E$20&gt;=2,IF(T19="Pause","",IF(V19=0,,ROUNDUP(V19/IFERROR(IF(MATCH(T19,Hilfstabelle!$A$1:$A$71,0)&gt;=1,IF(MID(T19,LEN(T19)-4,1)="D",Allgemeines!$E$23,IF(MID(T19,LEN(T19)-4,1)="C",Allgemeines!$E$24,IF(MID(T19,LEN(T19)-4,1)="B",Allgemeines!$E$25,IF(MID(T19,LEN(T19)-4,1)="A",Allgemeines!$E$26,IF(MID(T19,LEN(T19)-4,1)="S",Allgemeines!$E$27,)))))),""),0))))</f>
        <v>0</v>
      </c>
      <c r="X19" s="15" t="b">
        <f>IF(Allgemeines!$E$20&gt;=2,IFERROR(IF(MATCH(T19,Hilfstabelle!$A$1:$A$71,0)&gt;=1,IF(MID(T19,LEN(T19)-4,1)="D",3,IF(MID(T19,LEN(T19)-4,1)="C",4,5))),""))</f>
        <v>0</v>
      </c>
      <c r="Y19" s="16" t="str">
        <f>IFERROR(IF(AND(Y18=0,IF(IFERROR(FIND("Finale",U19,1),FALSE)=1,FALSE)),0,IF(AND(T19&lt;&gt;"Pause",U19&lt;&gt;"Finale",V19&gt;1),CONCATENATE("00:",X19*W19*Allgemeines!$E$33),IF(AND(T19="Pause",U18=1,IFERROR(FIND("SE",U19,1),0)),Allgemeines!$E$36*W17,IF(IFERROR(FIND("Finale",U19,1),0)&gt;0,TIME(0,20,0)*W19,IF(AND(T19="Pause",Y18&lt;&gt;0),Allgemeines!$E$30,TIME(0,0,0)))))),TIME(0,0,0))</f>
        <v>00:0</v>
      </c>
      <c r="Z19" s="12">
        <f t="shared" si="6"/>
        <v>0.45138888888888878</v>
      </c>
      <c r="AA19" s="13">
        <f>Z19+AH19</f>
        <v>0.45138888888888878</v>
      </c>
      <c r="AB19" s="14" t="b">
        <f>IF(Allgemeines!$E$20&gt;=3,IF(AC19="","",3))</f>
        <v>0</v>
      </c>
      <c r="AC19" s="15" t="str">
        <f>IF(Allgemeines!$E$20&gt;=3,Allgemeines!$H$7,"")</f>
        <v/>
      </c>
      <c r="AD19" s="15">
        <v>1</v>
      </c>
      <c r="AE19" s="15" t="b">
        <f>IF(Allgemeines!$E$20&gt;=3,Allgemeines!$I$7)</f>
        <v>0</v>
      </c>
      <c r="AF19" s="15" t="b">
        <f>IF(Allgemeines!$E$20&gt;=3,IF(AC19="Pause","",IF(AE19=0,,ROUNDUP(AE19/IFERROR(IF(MATCH(AC19,Hilfstabelle!$A$1:$A$71,0)&gt;=1,IF(MID(AC19,LEN(AC19)-4,1)="D",Allgemeines!$E$23,IF(MID(AC19,LEN(AC19)-4,1)="C",Allgemeines!$E$24,IF(MID(AC19,LEN(AC19)-4,1)="B",Allgemeines!$E$25,IF(MID(AC19,LEN(AC19)-4,1)="A",Allgemeines!$E$26,IF(MID(AC19,LEN(AC19)-4,1)="S",Allgemeines!$E$27,)))))),""),0))))</f>
        <v>0</v>
      </c>
      <c r="AG19" s="15" t="b">
        <f>IF(Allgemeines!$E$20&gt;=3,IFERROR(IF(MATCH(AC19,Hilfstabelle!$A$1:$A$71,0)&gt;=1,IF(MID(AC19,LEN(AC19)-4,1)="D",3,IF(MID(AC19,LEN(AC19)-4,1)="C",4,5))),""))</f>
        <v>0</v>
      </c>
      <c r="AH19" s="16" t="str">
        <f>IFERROR(IF(AND(AH18=0,IF(IFERROR(FIND("Finale",AD19,1),FALSE)=1,FALSE)),0,IF(AND(AC19&lt;&gt;"Pause",AD19&lt;&gt;"Finale",AE19&gt;1),CONCATENATE("00:",AG19*AF19*Allgemeines!$E$33),IF(AND(AC19="Pause",AD18=1,IFERROR(FIND("SE",AD19,1),0)),Allgemeines!$E$36*AF17,IF(IFERROR(FIND("Finale",AD19,1),0)&gt;0,TIME(0,20,0)*AF19,IF(AND(AC19="Pause",AH18&lt;&gt;0),Allgemeines!$E$30,TIME(0,0,0)))))),TIME(0,0,0))</f>
        <v>00:0</v>
      </c>
    </row>
    <row r="20" spans="1:34" x14ac:dyDescent="0.25">
      <c r="A20" s="45"/>
      <c r="B20" s="46"/>
      <c r="C20" s="44"/>
      <c r="D20" s="31">
        <f>F19</f>
        <v>3.4722222222222224E-2</v>
      </c>
      <c r="E20" s="10">
        <f t="shared" si="0"/>
        <v>6.9444444444444441E-3</v>
      </c>
      <c r="F20" s="32">
        <f t="shared" ref="F20:F24" si="15">D20+E20</f>
        <v>4.1666666666666671E-2</v>
      </c>
      <c r="G20" s="40"/>
      <c r="H20" s="12">
        <f t="shared" si="11"/>
        <v>0.45138888888888878</v>
      </c>
      <c r="I20" s="13">
        <f>H20+P20</f>
        <v>0.4583333333333332</v>
      </c>
      <c r="J20" s="34"/>
      <c r="K20" s="15" t="s">
        <v>10</v>
      </c>
      <c r="L20" s="15" t="b">
        <f>IF(Allgemeines!$E$20&gt;=1,IF(Allgemeines!$E$40="x",CONCATENATE("SE ",K12),""))</f>
        <v>0</v>
      </c>
      <c r="M20" s="15"/>
      <c r="N20" s="15" t="b">
        <f>IF(Allgemeines!$E$20&gt;=1,IF(K20="Pause","",IF(M20=0,,ROUNDUP(M20/IFERROR(IF(MATCH(K20,Hilfstabelle!$A$1:$A$71,0)&gt;=1,IF(MID(K20,LEN(K20)-4,1)="D",Allgemeines!$E$23,IF(MID(K20,LEN(K20)-4,1)="C",Allgemeines!$E$24,IF(MID(K20,LEN(K20)-4,1)="B",Allgemeines!$E$25,IF(MID(K20,LEN(K20)-4,1)="A",Allgemeines!$E$26,IF(MID(K20,LEN(K20)-4,1)="S",Allgemeines!$E$27,)))))),""),0))))</f>
        <v>0</v>
      </c>
      <c r="O20" s="15" t="b">
        <f>IF(Allgemeines!$E$20&gt;=1,IFERROR(IF(MATCH(K20,Hilfstabelle!$A$1:$A$71,0)&gt;=1,IF(MID(K20,LEN(K20)-4,1)="D",3,IF(MID(K20,LEN(K20)-4,1)="C",4,5))),""))</f>
        <v>0</v>
      </c>
      <c r="P20" s="16">
        <f>IFERROR(IF(AND(P19=0,IF(IFERROR(FIND("Finale",L20,1),FALSE)=1,FALSE)),0,IF(AND(K20&lt;&gt;"Pause",L20&lt;&gt;"Finale",M20&gt;1),CONCATENATE("00:",O20*N20*Allgemeines!$E$33),IF(AND(K20="Pause",L19=1,IFERROR(FIND("SE",L20,1),0)),Allgemeines!$E$36*N18,IF(IFERROR(FIND("Finale",L20,1),0)&gt;0,TIME(0,20,0)*N20,IF(AND(K20="Pause",P19&lt;&gt;0),Allgemeines!$E$30,TIME(0,0,0)))))),TIME(0,0,0))</f>
        <v>6.9444444444444441E-3</v>
      </c>
      <c r="Q20" s="12">
        <f t="shared" si="5"/>
        <v>0.45138888888888878</v>
      </c>
      <c r="R20" s="13">
        <f>Q20+Y20</f>
        <v>0.4583333333333332</v>
      </c>
      <c r="S20" s="14"/>
      <c r="T20" s="15" t="s">
        <v>10</v>
      </c>
      <c r="U20" s="15" t="b">
        <f>IF(Allgemeines!$E$20&gt;=2,IF(Allgemeines!$E$40="x",CONCATENATE("SE ",T12),""))</f>
        <v>0</v>
      </c>
      <c r="V20" s="15"/>
      <c r="W20" s="15" t="b">
        <f>IF(Allgemeines!$E$20&gt;=2,IF(T20="Pause","",IF(V20=0,,ROUNDUP(V20/IFERROR(IF(MATCH(T20,Hilfstabelle!$A$1:$A$71,0)&gt;=1,IF(MID(T20,LEN(T20)-4,1)="D",Allgemeines!$E$23,IF(MID(T20,LEN(T20)-4,1)="C",Allgemeines!$E$24,IF(MID(T20,LEN(T20)-4,1)="B",Allgemeines!$E$25,IF(MID(T20,LEN(T20)-4,1)="A",Allgemeines!$E$26,IF(MID(T20,LEN(T20)-4,1)="S",Allgemeines!$E$27,)))))),""),0))))</f>
        <v>0</v>
      </c>
      <c r="X20" s="15" t="b">
        <f>IF(Allgemeines!$E$20&gt;=2,IFERROR(IF(MATCH(T20,Hilfstabelle!$A$1:$A$71,0)&gt;=1,IF(MID(T20,LEN(T20)-4,1)="D",3,IF(MID(T20,LEN(T20)-4,1)="C",4,5))),""))</f>
        <v>0</v>
      </c>
      <c r="Y20" s="16">
        <f>IFERROR(IF(AND(Y19=0,IF(IFERROR(FIND("Finale",U20,1),FALSE)=1,FALSE)),0,IF(AND(T20&lt;&gt;"Pause",U20&lt;&gt;"Finale",V20&gt;1),CONCATENATE("00:",X20*W20*Allgemeines!$E$33),IF(AND(T20="Pause",U19=1,IFERROR(FIND("SE",U20,1),0)),Allgemeines!$E$36*W18,IF(IFERROR(FIND("Finale",U20,1),0)&gt;0,TIME(0,20,0)*W20,IF(AND(T20="Pause",Y19&lt;&gt;0),Allgemeines!$E$30,TIME(0,0,0)))))),TIME(0,0,0))</f>
        <v>6.9444444444444441E-3</v>
      </c>
      <c r="Z20" s="12">
        <f t="shared" si="6"/>
        <v>0.45138888888888878</v>
      </c>
      <c r="AA20" s="13">
        <f>Z20+AH20</f>
        <v>0.4583333333333332</v>
      </c>
      <c r="AB20" s="14"/>
      <c r="AC20" s="15" t="s">
        <v>10</v>
      </c>
      <c r="AD20" s="15" t="b">
        <f>IF(Allgemeines!$E$20&gt;=3,IF(Allgemeines!$E$40="x",CONCATENATE("SE ",AC12),""))</f>
        <v>0</v>
      </c>
      <c r="AE20" s="15"/>
      <c r="AF20" s="15" t="b">
        <f>IF(Allgemeines!$E$20&gt;=3,IF(AC20="Pause","",IF(AE20=0,,ROUNDUP(AE20/IFERROR(IF(MATCH(AC20,Hilfstabelle!$A$1:$A$71,0)&gt;=1,IF(MID(AC20,LEN(AC20)-4,1)="D",Allgemeines!$E$23,IF(MID(AC20,LEN(AC20)-4,1)="C",Allgemeines!$E$24,IF(MID(AC20,LEN(AC20)-4,1)="B",Allgemeines!$E$25,IF(MID(AC20,LEN(AC20)-4,1)="A",Allgemeines!$E$26,IF(MID(AC20,LEN(AC20)-4,1)="S",Allgemeines!$E$27,)))))),""),0))))</f>
        <v>0</v>
      </c>
      <c r="AG20" s="15" t="b">
        <f>IF(Allgemeines!$E$20&gt;=3,IFERROR(IF(MATCH(AC20,Hilfstabelle!$A$1:$A$71,0)&gt;=1,IF(MID(AC20,LEN(AC20)-4,1)="D",3,IF(MID(AC20,LEN(AC20)-4,1)="C",4,5))),""))</f>
        <v>0</v>
      </c>
      <c r="AH20" s="16">
        <f>IFERROR(IF(AND(AH19=0,IF(IFERROR(FIND("Finale",AD20,1),FALSE)=1,FALSE)),0,IF(AND(AC20&lt;&gt;"Pause",AD20&lt;&gt;"Finale",AE20&gt;1),CONCATENATE("00:",AG20*AF20*Allgemeines!$E$33),IF(AND(AC20="Pause",AD19=1,IFERROR(FIND("SE",AD20,1),0)),Allgemeines!$E$36*AF18,IF(IFERROR(FIND("Finale",AD20,1),0)&gt;0,TIME(0,20,0)*AF20,IF(AND(AC20="Pause",AH19&lt;&gt;0),Allgemeines!$E$30,TIME(0,0,0)))))),TIME(0,0,0))</f>
        <v>6.9444444444444441E-3</v>
      </c>
    </row>
    <row r="21" spans="1:34" x14ac:dyDescent="0.25">
      <c r="A21" s="45"/>
      <c r="B21" s="43"/>
      <c r="C21" s="47"/>
      <c r="D21" s="31">
        <f t="shared" ref="D21:D25" si="16">F20</f>
        <v>4.1666666666666671E-2</v>
      </c>
      <c r="E21" s="10" t="str">
        <f t="shared" si="0"/>
        <v>00:0</v>
      </c>
      <c r="F21" s="32">
        <f t="shared" si="15"/>
        <v>4.1666666666666671E-2</v>
      </c>
      <c r="G21" s="40"/>
      <c r="H21" s="12">
        <f t="shared" si="11"/>
        <v>0.4583333333333332</v>
      </c>
      <c r="I21" s="13">
        <f t="shared" ref="I21:I25" si="17">H21+P21</f>
        <v>0.4583333333333332</v>
      </c>
      <c r="J21" s="34" t="b">
        <f>IF(Allgemeines!$E$20&gt;=1,IF(K21="","",1))</f>
        <v>0</v>
      </c>
      <c r="K21" s="15" t="str">
        <f>K19</f>
        <v/>
      </c>
      <c r="L21" s="15">
        <v>2</v>
      </c>
      <c r="M21" s="15" t="b">
        <f>IF(Allgemeines!$E$20&gt;=1,IF(OR(ROUNDUP((M19/2)/6,0)*6=6,VLOOKUP(M19,Hilfstabelle!$F$2:$G$61,2,FALSE)&lt;=6,K21="Pause"),0,VLOOKUP(M19,Hilfstabelle!$F$2:$G$61,2,FALSE)))</f>
        <v>0</v>
      </c>
      <c r="N21" s="15" t="b">
        <f>IF(Allgemeines!$E$20&gt;=1,IF(K21="Pause","",IF(M21=0,,ROUNDUP(M21/IFERROR(IF(MATCH(K21,Hilfstabelle!$A$1:$A$71,0)&gt;=1,IF(MID(K21,LEN(K21)-4,1)="D",Allgemeines!$E$23,IF(MID(K21,LEN(K21)-4,1)="C",Allgemeines!$E$24,IF(MID(K21,LEN(K21)-4,1)="B",Allgemeines!$E$25,IF(MID(K21,LEN(K21)-4,1)="A",Allgemeines!$E$26,IF(MID(K21,LEN(K21)-4,1)="S",Allgemeines!$E$27,)))))),""),0))))</f>
        <v>0</v>
      </c>
      <c r="O21" s="15" t="b">
        <f>IF(Allgemeines!$E$20&gt;=1,IFERROR(IF(MATCH(K21,Hilfstabelle!$A$1:$A$71,0)&gt;=1,IF(MID(K21,LEN(K21)-4,1)="D",3,IF(MID(K21,LEN(K21)-4,1)="C",4,5))),""))</f>
        <v>0</v>
      </c>
      <c r="P21" s="16" t="str">
        <f>IFERROR(IF(AND(P20=0,IF(IFERROR(FIND("Finale",L21,1),FALSE)=1,FALSE)),0,IF(AND(K21&lt;&gt;"Pause",L21&lt;&gt;"Finale",M21&gt;1),CONCATENATE("00:",O21*N21*Allgemeines!$E$33),IF(AND(K21="Pause",L20=1,IFERROR(FIND("SE",L21,1),0)),Allgemeines!$E$36*N19,IF(IFERROR(FIND("Finale",L21,1),0)&gt;0,TIME(0,20,0)*N21,IF(AND(K21="Pause",P20&lt;&gt;0),Allgemeines!$E$30,TIME(0,0,0)))))),TIME(0,0,0))</f>
        <v>00:0</v>
      </c>
      <c r="Q21" s="12">
        <f t="shared" si="5"/>
        <v>0.4583333333333332</v>
      </c>
      <c r="R21" s="13">
        <f t="shared" ref="R21:R25" si="18">Q21+Y21</f>
        <v>0.4583333333333332</v>
      </c>
      <c r="S21" s="14" t="b">
        <f>IF(Allgemeines!$E$20&gt;=2,IF(T21="","",2))</f>
        <v>0</v>
      </c>
      <c r="T21" s="15" t="str">
        <f>T19</f>
        <v/>
      </c>
      <c r="U21" s="15">
        <v>2</v>
      </c>
      <c r="V21" s="15" t="b">
        <f>IF(Allgemeines!$E$20&gt;=2,IF(OR(ROUNDUP((V19/2)/6,0)*6=6,VLOOKUP(V19,Hilfstabelle!$F$2:$G$61,2,FALSE)&lt;=6,T21="Pause"),0,VLOOKUP(V19,Hilfstabelle!$F$2:$G$61,2,FALSE)))</f>
        <v>0</v>
      </c>
      <c r="W21" s="15" t="b">
        <f>IF(Allgemeines!$E$20&gt;=2,IF(T21="Pause","",IF(V21=0,,ROUNDUP(V21/IFERROR(IF(MATCH(T21,Hilfstabelle!$A$1:$A$71,0)&gt;=1,IF(MID(T21,LEN(T21)-4,1)="D",Allgemeines!$E$23,IF(MID(T21,LEN(T21)-4,1)="C",Allgemeines!$E$24,IF(MID(T21,LEN(T21)-4,1)="B",Allgemeines!$E$25,IF(MID(T21,LEN(T21)-4,1)="A",Allgemeines!$E$26,IF(MID(T21,LEN(T21)-4,1)="S",Allgemeines!$E$27,)))))),""),0))))</f>
        <v>0</v>
      </c>
      <c r="X21" s="15" t="b">
        <f>IF(Allgemeines!$E$20&gt;=2,IFERROR(IF(MATCH(T21,Hilfstabelle!$A$1:$A$71,0)&gt;=1,IF(MID(T21,LEN(T21)-4,1)="D",3,IF(MID(T21,LEN(T21)-4,1)="C",4,5))),""))</f>
        <v>0</v>
      </c>
      <c r="Y21" s="16" t="str">
        <f>IFERROR(IF(AND(Y20=0,IF(IFERROR(FIND("Finale",U21,1),FALSE)=1,FALSE)),0,IF(AND(T21&lt;&gt;"Pause",U21&lt;&gt;"Finale",V21&gt;1),CONCATENATE("00:",X21*W21*Allgemeines!$E$33),IF(AND(T21="Pause",U20=1,IFERROR(FIND("SE",U21,1),0)),Allgemeines!$E$36*W19,IF(IFERROR(FIND("Finale",U21,1),0)&gt;0,TIME(0,20,0)*W21,IF(AND(T21="Pause",Y20&lt;&gt;0),Allgemeines!$E$30,TIME(0,0,0)))))),TIME(0,0,0))</f>
        <v>00:0</v>
      </c>
      <c r="Z21" s="12">
        <f t="shared" si="6"/>
        <v>0.4583333333333332</v>
      </c>
      <c r="AA21" s="13">
        <f t="shared" ref="AA21:AA25" si="19">Z21+AH21</f>
        <v>0.4583333333333332</v>
      </c>
      <c r="AB21" s="14" t="b">
        <f>IF(Allgemeines!$E$20&gt;=3,IF(AC21="","",3))</f>
        <v>0</v>
      </c>
      <c r="AC21" s="15" t="str">
        <f>AC19</f>
        <v/>
      </c>
      <c r="AD21" s="15">
        <v>2</v>
      </c>
      <c r="AE21" s="15" t="b">
        <f>IF(Allgemeines!$E$20&gt;=3,IF(OR(ROUNDUP((AE19/2)/6,0)*6=6,VLOOKUP(AE19,Hilfstabelle!$F$2:$G$61,2,FALSE)&lt;=6,AC21="Pause"),0,VLOOKUP(AE19,Hilfstabelle!$F$2:$G$61,2,FALSE)))</f>
        <v>0</v>
      </c>
      <c r="AF21" s="15" t="b">
        <f>IF(Allgemeines!$E$20&gt;=3,IF(AC21="Pause","",IF(AE21=0,,ROUNDUP(AE21/IFERROR(IF(MATCH(AC21,Hilfstabelle!$A$1:$A$71,0)&gt;=1,IF(MID(AC21,LEN(AC21)-4,1)="D",Allgemeines!$E$23,IF(MID(AC21,LEN(AC21)-4,1)="C",Allgemeines!$E$24,IF(MID(AC21,LEN(AC21)-4,1)="B",Allgemeines!$E$25,IF(MID(AC21,LEN(AC21)-4,1)="A",Allgemeines!$E$26,IF(MID(AC21,LEN(AC21)-4,1)="S",Allgemeines!$E$27,)))))),""),0))))</f>
        <v>0</v>
      </c>
      <c r="AG21" s="15" t="b">
        <f>IF(Allgemeines!$E$20&gt;=3,IFERROR(IF(MATCH(AC21,Hilfstabelle!$A$1:$A$71,0)&gt;=1,IF(MID(AC21,LEN(AC21)-4,1)="D",3,IF(MID(AC21,LEN(AC21)-4,1)="C",4,5))),""))</f>
        <v>0</v>
      </c>
      <c r="AH21" s="16" t="str">
        <f>IFERROR(IF(AND(AH20=0,IF(IFERROR(FIND("Finale",AD21,1),FALSE)=1,FALSE)),0,IF(AND(AC21&lt;&gt;"Pause",AD21&lt;&gt;"Finale",AE21&gt;1),CONCATENATE("00:",AG21*AF21*Allgemeines!$E$33),IF(AND(AC21="Pause",AD20=1,IFERROR(FIND("SE",AD21,1),0)),Allgemeines!$E$36*AF19,IF(IFERROR(FIND("Finale",AD21,1),0)&gt;0,TIME(0,20,0)*AF21,IF(AND(AC21="Pause",AH20&lt;&gt;0),Allgemeines!$E$30,TIME(0,0,0)))))),TIME(0,0,0))</f>
        <v>00:0</v>
      </c>
    </row>
    <row r="22" spans="1:34" x14ac:dyDescent="0.25">
      <c r="A22" s="45"/>
      <c r="B22" s="43"/>
      <c r="C22" s="44"/>
      <c r="D22" s="31">
        <f t="shared" si="16"/>
        <v>4.1666666666666671E-2</v>
      </c>
      <c r="E22" s="10">
        <f t="shared" si="0"/>
        <v>6.9444444444444441E-3</v>
      </c>
      <c r="F22" s="32">
        <f t="shared" si="15"/>
        <v>4.8611111111111119E-2</v>
      </c>
      <c r="G22" s="40"/>
      <c r="H22" s="12">
        <f t="shared" si="11"/>
        <v>0.4583333333333332</v>
      </c>
      <c r="I22" s="13">
        <f t="shared" si="17"/>
        <v>0.46527777777777762</v>
      </c>
      <c r="J22" s="34"/>
      <c r="K22" s="15" t="s">
        <v>10</v>
      </c>
      <c r="L22" s="15"/>
      <c r="M22" s="15"/>
      <c r="N22" s="15" t="b">
        <f>IF(Allgemeines!$E$20&gt;=1,IF(K22="Pause","",IF(M22=0,,ROUNDUP(M22/IFERROR(IF(MATCH(K22,Hilfstabelle!$A$1:$A$71,0)&gt;=1,IF(MID(K22,LEN(K22)-4,1)="D",Allgemeines!$E$23,IF(MID(K22,LEN(K22)-4,1)="C",Allgemeines!$E$24,IF(MID(K22,LEN(K22)-4,1)="B",Allgemeines!$E$25,IF(MID(K22,LEN(K22)-4,1)="A",Allgemeines!$E$26,IF(MID(K22,LEN(K22)-4,1)="S",Allgemeines!$E$27,)))))),""),0))))</f>
        <v>0</v>
      </c>
      <c r="O22" s="15" t="b">
        <f>IF(Allgemeines!$E$20&gt;=1,IFERROR(IF(MATCH(K22,Hilfstabelle!$A$1:$A$71,0)&gt;=1,IF(MID(K22,LEN(K22)-4,1)="D",3,IF(MID(K22,LEN(K22)-4,1)="C",4,5))),""))</f>
        <v>0</v>
      </c>
      <c r="P22" s="16">
        <f>IFERROR(IF(AND(P21=0,IF(IFERROR(FIND("Finale",L22,1),FALSE)=1,FALSE)),0,IF(AND(K22&lt;&gt;"Pause",L22&lt;&gt;"Finale",M22&gt;1),CONCATENATE("00:",O22*N22*Allgemeines!$E$33),IF(AND(K22="Pause",L21=1,IFERROR(FIND("SE",L22,1),0)),Allgemeines!$E$36*N20,IF(IFERROR(FIND("Finale",L22,1),0)&gt;0,TIME(0,20,0)*N22,IF(AND(K22="Pause",P21&lt;&gt;0),Allgemeines!$E$30,TIME(0,0,0)))))),TIME(0,0,0))</f>
        <v>6.9444444444444441E-3</v>
      </c>
      <c r="Q22" s="12">
        <f t="shared" si="5"/>
        <v>0.4583333333333332</v>
      </c>
      <c r="R22" s="13">
        <f t="shared" si="18"/>
        <v>0.46527777777777762</v>
      </c>
      <c r="S22" s="14"/>
      <c r="T22" s="15" t="s">
        <v>10</v>
      </c>
      <c r="U22" s="15"/>
      <c r="V22" s="15"/>
      <c r="W22" s="15" t="b">
        <f>IF(Allgemeines!$E$20&gt;=2,IF(T22="Pause","",IF(V22=0,,ROUNDUP(V22/IFERROR(IF(MATCH(T22,Hilfstabelle!$A$1:$A$71,0)&gt;=1,IF(MID(T22,LEN(T22)-4,1)="D",Allgemeines!$E$23,IF(MID(T22,LEN(T22)-4,1)="C",Allgemeines!$E$24,IF(MID(T22,LEN(T22)-4,1)="B",Allgemeines!$E$25,IF(MID(T22,LEN(T22)-4,1)="A",Allgemeines!$E$26,IF(MID(T22,LEN(T22)-4,1)="S",Allgemeines!$E$27,)))))),""),0))))</f>
        <v>0</v>
      </c>
      <c r="X22" s="15" t="b">
        <f>IF(Allgemeines!$E$20&gt;=2,IFERROR(IF(MATCH(T22,Hilfstabelle!$A$1:$A$71,0)&gt;=1,IF(MID(T22,LEN(T22)-4,1)="D",3,IF(MID(T22,LEN(T22)-4,1)="C",4,5))),""))</f>
        <v>0</v>
      </c>
      <c r="Y22" s="16">
        <f>IFERROR(IF(AND(Y21=0,IF(IFERROR(FIND("Finale",U22,1),FALSE)=1,FALSE)),0,IF(AND(T22&lt;&gt;"Pause",U22&lt;&gt;"Finale",V22&gt;1),CONCATENATE("00:",X22*W22*Allgemeines!$E$33),IF(AND(T22="Pause",U21=1,IFERROR(FIND("SE",U22,1),0)),Allgemeines!$E$36*W20,IF(IFERROR(FIND("Finale",U22,1),0)&gt;0,TIME(0,20,0)*W22,IF(AND(T22="Pause",Y21&lt;&gt;0),Allgemeines!$E$30,TIME(0,0,0)))))),TIME(0,0,0))</f>
        <v>6.9444444444444441E-3</v>
      </c>
      <c r="Z22" s="12">
        <f t="shared" si="6"/>
        <v>0.4583333333333332</v>
      </c>
      <c r="AA22" s="13">
        <f t="shared" si="19"/>
        <v>0.46527777777777762</v>
      </c>
      <c r="AB22" s="14"/>
      <c r="AC22" s="15" t="s">
        <v>10</v>
      </c>
      <c r="AD22" s="15"/>
      <c r="AE22" s="15"/>
      <c r="AF22" s="15" t="b">
        <f>IF(Allgemeines!$E$20&gt;=3,IF(AC22="Pause","",IF(AE22=0,,ROUNDUP(AE22/IFERROR(IF(MATCH(AC22,Hilfstabelle!$A$1:$A$71,0)&gt;=1,IF(MID(AC22,LEN(AC22)-4,1)="D",Allgemeines!$E$23,IF(MID(AC22,LEN(AC22)-4,1)="C",Allgemeines!$E$24,IF(MID(AC22,LEN(AC22)-4,1)="B",Allgemeines!$E$25,IF(MID(AC22,LEN(AC22)-4,1)="A",Allgemeines!$E$26,IF(MID(AC22,LEN(AC22)-4,1)="S",Allgemeines!$E$27,)))))),""),0))))</f>
        <v>0</v>
      </c>
      <c r="AG22" s="15" t="b">
        <f>IF(Allgemeines!$E$20&gt;=3,IFERROR(IF(MATCH(AC22,Hilfstabelle!$A$1:$A$71,0)&gt;=1,IF(MID(AC22,LEN(AC22)-4,1)="D",3,IF(MID(AC22,LEN(AC22)-4,1)="C",4,5))),""))</f>
        <v>0</v>
      </c>
      <c r="AH22" s="16">
        <f>IFERROR(IF(AND(AH21=0,IF(IFERROR(FIND("Finale",AD22,1),FALSE)=1,FALSE)),0,IF(AND(AC22&lt;&gt;"Pause",AD22&lt;&gt;"Finale",AE22&gt;1),CONCATENATE("00:",AG22*AF22*Allgemeines!$E$33),IF(AND(AC22="Pause",AD21=1,IFERROR(FIND("SE",AD22,1),0)),Allgemeines!$E$36*AF20,IF(IFERROR(FIND("Finale",AD22,1),0)&gt;0,TIME(0,20,0)*AF22,IF(AND(AC22="Pause",AH21&lt;&gt;0),Allgemeines!$E$30,TIME(0,0,0)))))),TIME(0,0,0))</f>
        <v>6.9444444444444441E-3</v>
      </c>
    </row>
    <row r="23" spans="1:34" x14ac:dyDescent="0.25">
      <c r="A23" s="45"/>
      <c r="B23" s="43"/>
      <c r="C23" s="44"/>
      <c r="D23" s="31">
        <f t="shared" si="16"/>
        <v>4.8611111111111119E-2</v>
      </c>
      <c r="E23" s="10" t="str">
        <f t="shared" si="0"/>
        <v>00:0</v>
      </c>
      <c r="F23" s="32">
        <f t="shared" si="15"/>
        <v>4.8611111111111119E-2</v>
      </c>
      <c r="G23" s="40"/>
      <c r="H23" s="12">
        <f t="shared" si="11"/>
        <v>0.46527777777777762</v>
      </c>
      <c r="I23" s="13">
        <f t="shared" si="17"/>
        <v>0.46527777777777762</v>
      </c>
      <c r="J23" s="34" t="b">
        <f>IF(Allgemeines!$E$20&gt;=1,IF(K23="","",1))</f>
        <v>0</v>
      </c>
      <c r="K23" s="15" t="str">
        <f>K19</f>
        <v/>
      </c>
      <c r="L23" s="15">
        <v>3</v>
      </c>
      <c r="M23" s="15" t="b">
        <f>IF(Allgemeines!$E$20&gt;=1,IFERROR(IF(OR(ROUNDUP((M21/2)/6,0)*6=6,VLOOKUP(M21,Hilfstabelle!$F$2:$G$61,2,FALSE)&lt;6,K23="Pause"),0,VLOOKUP(M21,Hilfstabelle!$F$2:$G$61,2,FALSE)),0))</f>
        <v>0</v>
      </c>
      <c r="N23" s="15" t="b">
        <f>IF(Allgemeines!$E$20&gt;=1,IF(K23="Pause","",IF(M23=0,,ROUNDUP(M23/IFERROR(IF(MATCH(K23,Hilfstabelle!$A$1:$A$71,0)&gt;=1,IF(MID(K23,LEN(K23)-4,1)="D",Allgemeines!$E$23,IF(MID(K23,LEN(K23)-4,1)="C",Allgemeines!$E$24,IF(MID(K23,LEN(K23)-4,1)="B",Allgemeines!$E$25,IF(MID(K23,LEN(K23)-4,1)="A",Allgemeines!$E$26,IF(MID(K23,LEN(K23)-4,1)="S",Allgemeines!$E$27,)))))),""),0))))</f>
        <v>0</v>
      </c>
      <c r="O23" s="15" t="b">
        <f>IF(Allgemeines!$E$20&gt;=1,IFERROR(IF(MATCH(K23,Hilfstabelle!$A$1:$A$71,0)&gt;=1,IF(MID(K23,LEN(K23)-4,1)="D",3,IF(MID(K23,LEN(K23)-4,1)="C",4,5))),""))</f>
        <v>0</v>
      </c>
      <c r="P23" s="16" t="str">
        <f>IFERROR(IF(AND(P22=0,IF(IFERROR(FIND("Finale",L23,1),FALSE)=1,FALSE)),0,IF(AND(K23&lt;&gt;"Pause",L23&lt;&gt;"Finale",M23&gt;1),CONCATENATE("00:",O23*N23*Allgemeines!$E$33),IF(AND(K23="Pause",L22=1,IFERROR(FIND("SE",L23,1),0)),Allgemeines!$E$36*N21,IF(IFERROR(FIND("Finale",L23,1),0)&gt;0,TIME(0,20,0)*N23,IF(AND(K23="Pause",P22&lt;&gt;0),Allgemeines!$E$30,TIME(0,0,0)))))),TIME(0,0,0))</f>
        <v>00:0</v>
      </c>
      <c r="Q23" s="12">
        <f t="shared" si="5"/>
        <v>0.46527777777777762</v>
      </c>
      <c r="R23" s="13">
        <f t="shared" si="18"/>
        <v>0.46527777777777762</v>
      </c>
      <c r="S23" s="14" t="b">
        <f>IF(Allgemeines!$E$20&gt;=2,IF(T23="","",2))</f>
        <v>0</v>
      </c>
      <c r="T23" s="15" t="str">
        <f>T19</f>
        <v/>
      </c>
      <c r="U23" s="15">
        <v>3</v>
      </c>
      <c r="V23" s="15" t="str">
        <f>IF(Allgemeines!$E$20&gt;=2,IFERROR(IF(OR(ROUNDUP((V21/2)/6,0)*6=6,VLOOKUP(V21,Hilfstabelle!$F$2:$G$61,2,FALSE)&lt;6,T23="Pause"),0,VLOOKUP(V21,Hilfstabelle!$F$2:$G$61,2,FALSE)),0),"")</f>
        <v/>
      </c>
      <c r="W23" s="15" t="b">
        <f>IF(Allgemeines!$E$20&gt;=2,IF(T23="Pause","",IF(V23=0,,ROUNDUP(V23/IFERROR(IF(MATCH(T23,Hilfstabelle!$A$1:$A$71,0)&gt;=1,IF(MID(T23,LEN(T23)-4,1)="D",Allgemeines!$E$23,IF(MID(T23,LEN(T23)-4,1)="C",Allgemeines!$E$24,IF(MID(T23,LEN(T23)-4,1)="B",Allgemeines!$E$25,IF(MID(T23,LEN(T23)-4,1)="A",Allgemeines!$E$26,IF(MID(T23,LEN(T23)-4,1)="S",Allgemeines!$E$27,)))))),""),0))))</f>
        <v>0</v>
      </c>
      <c r="X23" s="15" t="b">
        <f>IF(Allgemeines!$E$20&gt;=2,IFERROR(IF(MATCH(T23,Hilfstabelle!$A$1:$A$71,0)&gt;=1,IF(MID(T23,LEN(T23)-4,1)="D",3,IF(MID(T23,LEN(T23)-4,1)="C",4,5))),""))</f>
        <v>0</v>
      </c>
      <c r="Y23" s="16" t="str">
        <f>IFERROR(IF(AND(Y22=0,IF(IFERROR(FIND("Finale",U23,1),FALSE)=1,FALSE)),0,IF(AND(T23&lt;&gt;"Pause",U23&lt;&gt;"Finale",V23&gt;1),CONCATENATE("00:",X23*W23*Allgemeines!$E$33),IF(AND(T23="Pause",U22=1,IFERROR(FIND("SE",U23,1),0)),Allgemeines!$E$36*W21,IF(IFERROR(FIND("Finale",U23,1),0)&gt;0,TIME(0,20,0)*W23,IF(AND(T23="Pause",Y22&lt;&gt;0),Allgemeines!$E$30,TIME(0,0,0)))))),TIME(0,0,0))</f>
        <v>00:0</v>
      </c>
      <c r="Z23" s="12">
        <f t="shared" si="6"/>
        <v>0.46527777777777762</v>
      </c>
      <c r="AA23" s="13">
        <f t="shared" si="19"/>
        <v>0.46527777777777762</v>
      </c>
      <c r="AB23" s="14" t="b">
        <f>IF(Allgemeines!$E$20&gt;=3,IF(AC23="","",3))</f>
        <v>0</v>
      </c>
      <c r="AC23" s="15" t="str">
        <f>AC19</f>
        <v/>
      </c>
      <c r="AD23" s="15">
        <v>3</v>
      </c>
      <c r="AE23" s="15" t="str">
        <f>IF(Allgemeines!$E$20&gt;=3,IFERROR(IF(OR(ROUNDUP((AE21/2)/6,0)*6=6,VLOOKUP(AE21,Hilfstabelle!$F$2:$G$61,2,FALSE)&lt;6,AC23="Pause"),0,VLOOKUP(AE21,Hilfstabelle!$F$2:$G$61,2,FALSE)),0),"")</f>
        <v/>
      </c>
      <c r="AF23" s="15" t="b">
        <f>IF(Allgemeines!$E$20&gt;=3,IF(AC23="Pause","",IF(AE23=0,,ROUNDUP(AE23/IFERROR(IF(MATCH(AC23,Hilfstabelle!$A$1:$A$71,0)&gt;=1,IF(MID(AC23,LEN(AC23)-4,1)="D",Allgemeines!$E$23,IF(MID(AC23,LEN(AC23)-4,1)="C",Allgemeines!$E$24,IF(MID(AC23,LEN(AC23)-4,1)="B",Allgemeines!$E$25,IF(MID(AC23,LEN(AC23)-4,1)="A",Allgemeines!$E$26,IF(MID(AC23,LEN(AC23)-4,1)="S",Allgemeines!$E$27,)))))),""),0))))</f>
        <v>0</v>
      </c>
      <c r="AG23" s="15" t="b">
        <f>IF(Allgemeines!$E$20&gt;=3,IFERROR(IF(MATCH(AC23,Hilfstabelle!$A$1:$A$71,0)&gt;=1,IF(MID(AC23,LEN(AC23)-4,1)="D",3,IF(MID(AC23,LEN(AC23)-4,1)="C",4,5))),""))</f>
        <v>0</v>
      </c>
      <c r="AH23" s="16" t="str">
        <f>IFERROR(IF(AND(AH22=0,IF(IFERROR(FIND("Finale",AD23,1),FALSE)=1,FALSE)),0,IF(AND(AC23&lt;&gt;"Pause",AD23&lt;&gt;"Finale",AE23&gt;1),CONCATENATE("00:",AG23*AF23*Allgemeines!$E$33),IF(AND(AC23="Pause",AD22=1,IFERROR(FIND("SE",AD23,1),0)),Allgemeines!$E$36*AF21,IF(IFERROR(FIND("Finale",AD23,1),0)&gt;0,TIME(0,20,0)*AF23,IF(AND(AC23="Pause",AH22&lt;&gt;0),Allgemeines!$E$30,TIME(0,0,0)))))),TIME(0,0,0))</f>
        <v>00:0</v>
      </c>
    </row>
    <row r="24" spans="1:34" x14ac:dyDescent="0.25">
      <c r="A24" s="45"/>
      <c r="B24" s="43"/>
      <c r="C24" s="44"/>
      <c r="D24" s="31">
        <f t="shared" si="16"/>
        <v>4.8611111111111119E-2</v>
      </c>
      <c r="E24" s="10">
        <f t="shared" si="0"/>
        <v>6.9444444444444441E-3</v>
      </c>
      <c r="F24" s="32">
        <f t="shared" si="15"/>
        <v>5.5555555555555566E-2</v>
      </c>
      <c r="G24" s="40"/>
      <c r="H24" s="12">
        <f t="shared" si="11"/>
        <v>0.46527777777777762</v>
      </c>
      <c r="I24" s="13">
        <f t="shared" si="17"/>
        <v>0.47222222222222204</v>
      </c>
      <c r="J24" s="34"/>
      <c r="K24" s="15" t="s">
        <v>10</v>
      </c>
      <c r="L24" s="15"/>
      <c r="M24" s="15"/>
      <c r="N24" s="15" t="b">
        <f>IF(Allgemeines!$E$20&gt;=1,IF(K24="Pause","",IF(M24=0,,ROUNDUP(M24/IFERROR(IF(MATCH(K24,Hilfstabelle!$A$1:$A$71,0)&gt;=1,IF(MID(K24,LEN(K24)-4,1)="D",Allgemeines!$E$23,IF(MID(K24,LEN(K24)-4,1)="C",Allgemeines!$E$24,IF(MID(K24,LEN(K24)-4,1)="B",Allgemeines!$E$25,IF(MID(K24,LEN(K24)-4,1)="A",Allgemeines!$E$26,IF(MID(K24,LEN(K24)-4,1)="S",Allgemeines!$E$27,)))))),""),0))))</f>
        <v>0</v>
      </c>
      <c r="O24" s="15" t="b">
        <f>IF(Allgemeines!$E$20&gt;=1,IFERROR(IF(MATCH(K24,Hilfstabelle!$A$1:$A$71,0)&gt;=1,IF(MID(K24,LEN(K24)-4,1)="D",3,IF(MID(K24,LEN(K24)-4,1)="C",4,5))),""))</f>
        <v>0</v>
      </c>
      <c r="P24" s="16">
        <f>IFERROR(IF(AND(P23=0,IF(IFERROR(FIND("Finale",L24,1),FALSE)=1,FALSE)),0,IF(AND(K24&lt;&gt;"Pause",L24&lt;&gt;"Finale",M24&gt;1),CONCATENATE("00:",O24*N24*Allgemeines!$E$33),IF(AND(K24="Pause",L23=1,IFERROR(FIND("SE",L24,1),0)),Allgemeines!$E$36*N22,IF(IFERROR(FIND("Finale",L24,1),0)&gt;0,TIME(0,20,0)*N24,IF(AND(K24="Pause",P23&lt;&gt;0),Allgemeines!$E$30,TIME(0,0,0)))))),TIME(0,0,0))</f>
        <v>6.9444444444444441E-3</v>
      </c>
      <c r="Q24" s="12">
        <f t="shared" si="5"/>
        <v>0.46527777777777762</v>
      </c>
      <c r="R24" s="13">
        <f t="shared" si="18"/>
        <v>0.47222222222222204</v>
      </c>
      <c r="S24" s="14"/>
      <c r="T24" s="15" t="s">
        <v>10</v>
      </c>
      <c r="U24" s="15"/>
      <c r="V24" s="15"/>
      <c r="W24" s="15" t="b">
        <f>IF(Allgemeines!$E$20&gt;=2,IF(T24="Pause","",IF(V24=0,,ROUNDUP(V24/IFERROR(IF(MATCH(T24,Hilfstabelle!$A$1:$A$71,0)&gt;=1,IF(MID(T24,LEN(T24)-4,1)="D",Allgemeines!$E$23,IF(MID(T24,LEN(T24)-4,1)="C",Allgemeines!$E$24,IF(MID(T24,LEN(T24)-4,1)="B",Allgemeines!$E$25,IF(MID(T24,LEN(T24)-4,1)="A",Allgemeines!$E$26,IF(MID(T24,LEN(T24)-4,1)="S",Allgemeines!$E$27,)))))),""),0))))</f>
        <v>0</v>
      </c>
      <c r="X24" s="15" t="b">
        <f>IF(Allgemeines!$E$20&gt;=2,IFERROR(IF(MATCH(T24,Hilfstabelle!$A$1:$A$71,0)&gt;=1,IF(MID(T24,LEN(T24)-4,1)="D",3,IF(MID(T24,LEN(T24)-4,1)="C",4,5))),""))</f>
        <v>0</v>
      </c>
      <c r="Y24" s="16">
        <f>IFERROR(IF(AND(Y23=0,IF(IFERROR(FIND("Finale",U24,1),FALSE)=1,FALSE)),0,IF(AND(T24&lt;&gt;"Pause",U24&lt;&gt;"Finale",V24&gt;1),CONCATENATE("00:",X24*W24*Allgemeines!$E$33),IF(AND(T24="Pause",U23=1,IFERROR(FIND("SE",U24,1),0)),Allgemeines!$E$36*W22,IF(IFERROR(FIND("Finale",U24,1),0)&gt;0,TIME(0,20,0)*W24,IF(AND(T24="Pause",Y23&lt;&gt;0),Allgemeines!$E$30,TIME(0,0,0)))))),TIME(0,0,0))</f>
        <v>6.9444444444444441E-3</v>
      </c>
      <c r="Z24" s="12">
        <f t="shared" si="6"/>
        <v>0.46527777777777762</v>
      </c>
      <c r="AA24" s="13">
        <f t="shared" si="19"/>
        <v>0.47222222222222204</v>
      </c>
      <c r="AB24" s="14"/>
      <c r="AC24" s="15" t="s">
        <v>10</v>
      </c>
      <c r="AD24" s="15"/>
      <c r="AE24" s="15"/>
      <c r="AF24" s="15" t="b">
        <f>IF(Allgemeines!$E$20&gt;=3,IF(AC24="Pause","",IF(AE24=0,,ROUNDUP(AE24/IFERROR(IF(MATCH(AC24,Hilfstabelle!$A$1:$A$71,0)&gt;=1,IF(MID(AC24,LEN(AC24)-4,1)="D",Allgemeines!$E$23,IF(MID(AC24,LEN(AC24)-4,1)="C",Allgemeines!$E$24,IF(MID(AC24,LEN(AC24)-4,1)="B",Allgemeines!$E$25,IF(MID(AC24,LEN(AC24)-4,1)="A",Allgemeines!$E$26,IF(MID(AC24,LEN(AC24)-4,1)="S",Allgemeines!$E$27,)))))),""),0))))</f>
        <v>0</v>
      </c>
      <c r="AG24" s="15" t="b">
        <f>IF(Allgemeines!$E$20&gt;=3,IFERROR(IF(MATCH(AC24,Hilfstabelle!$A$1:$A$71,0)&gt;=1,IF(MID(AC24,LEN(AC24)-4,1)="D",3,IF(MID(AC24,LEN(AC24)-4,1)="C",4,5))),""))</f>
        <v>0</v>
      </c>
      <c r="AH24" s="16">
        <f>IFERROR(IF(AND(AH23=0,IF(IFERROR(FIND("Finale",AD24,1),FALSE)=1,FALSE)),0,IF(AND(AC24&lt;&gt;"Pause",AD24&lt;&gt;"Finale",AE24&gt;1),CONCATENATE("00:",AG24*AF24*Allgemeines!$E$33),IF(AND(AC24="Pause",AD23=1,IFERROR(FIND("SE",AD24,1),0)),Allgemeines!$E$36*AF22,IF(IFERROR(FIND("Finale",AD24,1),0)&gt;0,TIME(0,20,0)*AF24,IF(AND(AC24="Pause",AH23&lt;&gt;0),Allgemeines!$E$30,TIME(0,0,0)))))),TIME(0,0,0))</f>
        <v>6.9444444444444441E-3</v>
      </c>
    </row>
    <row r="25" spans="1:34" x14ac:dyDescent="0.25">
      <c r="A25" s="48"/>
      <c r="B25" s="49"/>
      <c r="C25" s="50">
        <f>A19+B19</f>
        <v>0</v>
      </c>
      <c r="D25" s="19">
        <f t="shared" si="16"/>
        <v>5.5555555555555566E-2</v>
      </c>
      <c r="E25" s="17" t="str">
        <f t="shared" si="0"/>
        <v>00:0</v>
      </c>
      <c r="F25" s="37">
        <f>D25+E25</f>
        <v>5.5555555555555566E-2</v>
      </c>
      <c r="G25" s="41">
        <f>F25-D19</f>
        <v>2.0833333333333343E-2</v>
      </c>
      <c r="H25" s="19">
        <f t="shared" si="11"/>
        <v>0.47222222222222204</v>
      </c>
      <c r="I25" s="33">
        <f t="shared" si="17"/>
        <v>0.47222222222222204</v>
      </c>
      <c r="J25" s="35" t="str">
        <f>IF(K25="","",1)</f>
        <v/>
      </c>
      <c r="K25" s="21" t="str">
        <f>K19</f>
        <v/>
      </c>
      <c r="L25" s="21" t="str">
        <f>IF(Allgemeines!$E$20&gt;=1,IF(Allgemeines!$E$39="x","Finale + SE","Finale"),"")</f>
        <v/>
      </c>
      <c r="M25" s="21" t="b">
        <f>IF(Allgemeines!$E$20&gt;=1,IF(M19&gt;6,6,M19))</f>
        <v>0</v>
      </c>
      <c r="N25" s="21" t="b">
        <f>IF(Allgemeines!$E$20&gt;=1,IF(K25="Pause","",IF(M25=0,,ROUNDUP(M25/IFERROR(IF(MATCH(K25,Hilfstabelle!$A$1:$A$71,0)&gt;=1,IF(MID(K25,LEN(K25)-4,1)="D",Allgemeines!$E$23,IF(MID(K25,LEN(K25)-4,1)="C",Allgemeines!$E$24,IF(MID(K25,LEN(K25)-4,1)="B",Allgemeines!$E$25,IF(MID(K25,LEN(K25)-4,1)="A",Allgemeines!$E$26,IF(MID(K25,LEN(K25)-4,1)="S",Allgemeines!$E$27,)))))),""),0))))</f>
        <v>0</v>
      </c>
      <c r="O25" s="21" t="b">
        <f>IF(Allgemeines!$E$20&gt;=1,IFERROR(IF(MATCH(K25,Hilfstabelle!$A$1:$A$71,0)&gt;=1,IF(MID(K25,LEN(K25)-4,1)="D",3,IF(MID(K25,LEN(K25)-4,1)="C",4,5))),""))</f>
        <v>0</v>
      </c>
      <c r="P25" s="22" t="str">
        <f>IFERROR(IF(AND(P24=0,IF(IFERROR(FIND("Finale",L25,1),FALSE)=1,FALSE)),0,IF(AND(K25&lt;&gt;"Pause",L25&lt;&gt;"Finale",M25&gt;1),CONCATENATE("00:",O25*N25*Allgemeines!$E$33),IF(AND(K25="Pause",L24=1,IFERROR(FIND("SE",L25,1),0)),Allgemeines!$E$36*N23,IF(IFERROR(FIND("Finale",L25,1),0)&gt;0,TIME(0,20,0)*N25,IF(AND(K25="Pause",P24&lt;&gt;0),Allgemeines!$E$30,TIME(0,0,0)))))),TIME(0,0,0))</f>
        <v>00:0</v>
      </c>
      <c r="Q25" s="19">
        <f t="shared" si="5"/>
        <v>0.47222222222222204</v>
      </c>
      <c r="R25" s="18">
        <f t="shared" si="18"/>
        <v>0.47222222222222204</v>
      </c>
      <c r="S25" s="20" t="str">
        <f>IF(T25="","",2)</f>
        <v/>
      </c>
      <c r="T25" s="21" t="str">
        <f>T19</f>
        <v/>
      </c>
      <c r="U25" s="21" t="str">
        <f>IF(Allgemeines!$E$20&gt;=2,IF(Allgemeines!$E$39="x","Finale + SE","Finale"),"")</f>
        <v/>
      </c>
      <c r="V25" s="21" t="str">
        <f>IF(Allgemeines!$E$20&gt;=2,IF(V19&gt;6,6,V19),"")</f>
        <v/>
      </c>
      <c r="W25" s="21" t="b">
        <f>IF(Allgemeines!$E$20&gt;=2,IF(T25="Pause","",IF(V25=0,,ROUNDUP(V25/IFERROR(IF(MATCH(T25,Hilfstabelle!$A$1:$A$71,0)&gt;=1,IF(MID(T25,LEN(T25)-4,1)="D",Allgemeines!$E$23,IF(MID(T25,LEN(T25)-4,1)="C",Allgemeines!$E$24,IF(MID(T25,LEN(T25)-4,1)="B",Allgemeines!$E$25,IF(MID(T25,LEN(T25)-4,1)="A",Allgemeines!$E$26,IF(MID(T25,LEN(T25)-4,1)="S",Allgemeines!$E$27,)))))),""),0))))</f>
        <v>0</v>
      </c>
      <c r="X25" s="21" t="b">
        <f>IF(Allgemeines!$E$20&gt;=2,IFERROR(IF(MATCH(T25,Hilfstabelle!$A$1:$A$71,0)&gt;=1,IF(MID(T25,LEN(T25)-4,1)="D",3,IF(MID(T25,LEN(T25)-4,1)="C",4,5))),""))</f>
        <v>0</v>
      </c>
      <c r="Y25" s="22" t="str">
        <f>IFERROR(IF(AND(Y24=0,IF(IFERROR(FIND("Finale",U25,1),FALSE)=1,FALSE)),0,IF(AND(T25&lt;&gt;"Pause",U25&lt;&gt;"Finale",V25&gt;1),CONCATENATE("00:",X25*W25*Allgemeines!$E$33),IF(AND(T25="Pause",U24=1,IFERROR(FIND("SE",U25,1),0)),Allgemeines!$E$36*W23,IF(IFERROR(FIND("Finale",U25,1),0)&gt;0,TIME(0,20,0)*W25,IF(AND(T25="Pause",Y24&lt;&gt;0),Allgemeines!$E$30,TIME(0,0,0)))))),TIME(0,0,0))</f>
        <v>00:0</v>
      </c>
      <c r="Z25" s="19">
        <f t="shared" si="6"/>
        <v>0.47222222222222204</v>
      </c>
      <c r="AA25" s="18">
        <f t="shared" si="19"/>
        <v>0.47222222222222204</v>
      </c>
      <c r="AB25" s="20" t="str">
        <f>IF(AC25="","",3)</f>
        <v/>
      </c>
      <c r="AC25" s="21" t="str">
        <f>AC19</f>
        <v/>
      </c>
      <c r="AD25" s="21" t="str">
        <f>IF(Allgemeines!$E$20&gt;=3,IF(Allgemeines!$E$39="x","Finale + SE","Finale"),"")</f>
        <v/>
      </c>
      <c r="AE25" s="21" t="str">
        <f>IF(Allgemeines!$E$20&gt;=3,IF(AE19&gt;6,6,AE19),"")</f>
        <v/>
      </c>
      <c r="AF25" s="21" t="b">
        <f>IF(Allgemeines!$E$20&gt;=3,IF(AC25="Pause","",IF(AE25=0,,ROUNDUP(AE25/IFERROR(IF(MATCH(AC25,Hilfstabelle!$A$1:$A$71,0)&gt;=1,IF(MID(AC25,LEN(AC25)-4,1)="D",Allgemeines!$E$23,IF(MID(AC25,LEN(AC25)-4,1)="C",Allgemeines!$E$24,IF(MID(AC25,LEN(AC25)-4,1)="B",Allgemeines!$E$25,IF(MID(AC25,LEN(AC25)-4,1)="A",Allgemeines!$E$26,IF(MID(AC25,LEN(AC25)-4,1)="S",Allgemeines!$E$27,)))))),""),0))))</f>
        <v>0</v>
      </c>
      <c r="AG25" s="21" t="b">
        <f>IF(Allgemeines!$E$20&gt;=3,IFERROR(IF(MATCH(AC25,Hilfstabelle!$A$1:$A$71,0)&gt;=1,IF(MID(AC25,LEN(AC25)-4,1)="D",3,IF(MID(AC25,LEN(AC25)-4,1)="C",4,5))),""))</f>
        <v>0</v>
      </c>
      <c r="AH25" s="22" t="str">
        <f>IFERROR(IF(AND(AH24=0,IF(IFERROR(FIND("Finale",AD25,1),FALSE)=1,FALSE)),0,IF(AND(AC25&lt;&gt;"Pause",AD25&lt;&gt;"Finale",AE25&gt;1),CONCATENATE("00:",AG25*AF25*Allgemeines!$E$33),IF(AND(AC25="Pause",AD24=1,IFERROR(FIND("SE",AD25,1),0)),Allgemeines!$E$36*AF23,IF(IFERROR(FIND("Finale",AD25,1),0)&gt;0,TIME(0,20,0)*AF25,IF(AND(AC25="Pause",AH24&lt;&gt;0),Allgemeines!$E$30,TIME(0,0,0)))))),TIME(0,0,0))</f>
        <v>00:0</v>
      </c>
    </row>
    <row r="26" spans="1:34" x14ac:dyDescent="0.25">
      <c r="A26" s="42">
        <f>Allgemeines!$B$8</f>
        <v>0</v>
      </c>
      <c r="B26" s="43">
        <f>Allgemeines!$C$8-Allgemeines!$B$8</f>
        <v>0</v>
      </c>
      <c r="C26" s="44"/>
      <c r="D26" s="36">
        <f>F25</f>
        <v>5.5555555555555566E-2</v>
      </c>
      <c r="E26" s="11" t="str">
        <f t="shared" si="0"/>
        <v>00:0</v>
      </c>
      <c r="F26" s="30">
        <f>D26+E26</f>
        <v>5.5555555555555566E-2</v>
      </c>
      <c r="G26" s="39"/>
      <c r="H26" s="12">
        <f>I25</f>
        <v>0.47222222222222204</v>
      </c>
      <c r="I26" s="13">
        <f>H26+P26</f>
        <v>0.47222222222222204</v>
      </c>
      <c r="J26" s="34" t="str">
        <f>IF(Allgemeines!$E$20&gt;=1,IF(K26="","",1),"")</f>
        <v/>
      </c>
      <c r="K26" s="15" t="str">
        <f>IF(Allgemeines!$E$20&gt;=1,Allgemeines!$D$8,"")</f>
        <v/>
      </c>
      <c r="L26" s="15">
        <v>1</v>
      </c>
      <c r="M26" s="15" t="b">
        <f>IF(Allgemeines!$E$20&gt;=1,Allgemeines!$E$8)</f>
        <v>0</v>
      </c>
      <c r="N26" s="15" t="b">
        <f>IF(Allgemeines!$E$20&gt;=1,IF(K26="Pause","",IF(M26=0,,ROUNDUP(M26/IFERROR(IF(MATCH(K26,Hilfstabelle!$A$1:$A$71,0)&gt;=1,IF(MID(K26,LEN(K26)-4,1)="D",Allgemeines!$E$23,IF(MID(K26,LEN(K26)-4,1)="C",Allgemeines!$E$24,IF(MID(K26,LEN(K26)-4,1)="B",Allgemeines!$E$25,IF(MID(K26,LEN(K26)-4,1)="A",Allgemeines!$E$26,IF(MID(K26,LEN(K26)-4,1)="S",Allgemeines!$E$27,)))))),""),0))))</f>
        <v>0</v>
      </c>
      <c r="O26" s="15" t="b">
        <f>IF(Allgemeines!$E$20&gt;=1,IFERROR(IF(MATCH(K26,Hilfstabelle!$A$1:$A$71,0)&gt;=1,IF(MID(K26,LEN(K26)-4,1)="D",3,IF(MID(K26,LEN(K26)-4,1)="C",4,5))),""))</f>
        <v>0</v>
      </c>
      <c r="P26" s="16" t="str">
        <f>IFERROR(IF(AND(P25=0,IF(IFERROR(FIND("Finale",L26,1),FALSE)=1,FALSE)),0,IF(AND(K26&lt;&gt;"Pause",L26&lt;&gt;"Finale",M26&gt;1),CONCATENATE("00:",O26*N26*Allgemeines!$E$33),IF(AND(K26="Pause",L25=1,IFERROR(FIND("SE",L26,1),0)),Allgemeines!$E$36*N24,IF(IFERROR(FIND("Finale",L26,1),0)&gt;0,TIME(0,20,0)*N26,IF(AND(K26="Pause",P25&lt;&gt;0),Allgemeines!$E$30,TIME(0,0,0)))))),TIME(0,0,0))</f>
        <v>00:0</v>
      </c>
      <c r="Q26" s="12">
        <f t="shared" si="5"/>
        <v>0.47222222222222204</v>
      </c>
      <c r="R26" s="13">
        <f>Q26+Y26</f>
        <v>0.47222222222222204</v>
      </c>
      <c r="S26" s="14" t="b">
        <f>IF(Allgemeines!$E$20&gt;=2,IF(T26="","",2))</f>
        <v>0</v>
      </c>
      <c r="T26" s="15" t="str">
        <f>IF(Allgemeines!$E$20&gt;=2,Allgemeines!$F$8,"")</f>
        <v/>
      </c>
      <c r="U26" s="15">
        <v>1</v>
      </c>
      <c r="V26" s="15" t="b">
        <f>IF(Allgemeines!$E$20&gt;=2,Allgemeines!$G$8)</f>
        <v>0</v>
      </c>
      <c r="W26" s="15" t="b">
        <f>IF(Allgemeines!$E$20&gt;=2,IF(T26="Pause","",IF(V26=0,,ROUNDUP(V26/IFERROR(IF(MATCH(T26,Hilfstabelle!$A$1:$A$71,0)&gt;=1,IF(MID(T26,LEN(T26)-4,1)="D",Allgemeines!$E$23,IF(MID(T26,LEN(T26)-4,1)="C",Allgemeines!$E$24,IF(MID(T26,LEN(T26)-4,1)="B",Allgemeines!$E$25,IF(MID(T26,LEN(T26)-4,1)="A",Allgemeines!$E$26,IF(MID(T26,LEN(T26)-4,1)="S",Allgemeines!$E$27,)))))),""),0))))</f>
        <v>0</v>
      </c>
      <c r="X26" s="15" t="b">
        <f>IF(Allgemeines!$E$20&gt;=2,IFERROR(IF(MATCH(T26,Hilfstabelle!$A$1:$A$71,0)&gt;=1,IF(MID(T26,LEN(T26)-4,1)="D",3,IF(MID(T26,LEN(T26)-4,1)="C",4,5))),""))</f>
        <v>0</v>
      </c>
      <c r="Y26" s="16" t="str">
        <f>IFERROR(IF(AND(Y25=0,IF(IFERROR(FIND("Finale",U26,1),FALSE)=1,FALSE)),0,IF(AND(T26&lt;&gt;"Pause",U26&lt;&gt;"Finale",V26&gt;1),CONCATENATE("00:",X26*W26*Allgemeines!$E$33),IF(AND(T26="Pause",U25=1,IFERROR(FIND("SE",U26,1),0)),Allgemeines!$E$36*W24,IF(IFERROR(FIND("Finale",U26,1),0)&gt;0,TIME(0,20,0)*W26,IF(AND(T26="Pause",Y25&lt;&gt;0),Allgemeines!$E$30,TIME(0,0,0)))))),TIME(0,0,0))</f>
        <v>00:0</v>
      </c>
      <c r="Z26" s="12">
        <f t="shared" si="6"/>
        <v>0.47222222222222204</v>
      </c>
      <c r="AA26" s="13">
        <f>Z26+AH26</f>
        <v>0.47222222222222204</v>
      </c>
      <c r="AB26" s="14" t="b">
        <f>IF(Allgemeines!$E$20&gt;=3,IF(AC26="","",3))</f>
        <v>0</v>
      </c>
      <c r="AC26" s="15" t="str">
        <f>IF(Allgemeines!$E$20&gt;=3,Allgemeines!$H$8,"")</f>
        <v/>
      </c>
      <c r="AD26" s="15">
        <v>1</v>
      </c>
      <c r="AE26" s="15" t="b">
        <f>IF(Allgemeines!$E$20&gt;=3,Allgemeines!$I$8)</f>
        <v>0</v>
      </c>
      <c r="AF26" s="15" t="b">
        <f>IF(Allgemeines!$E$20&gt;=3,IF(AC26="Pause","",IF(AE26=0,,ROUNDUP(AE26/IFERROR(IF(MATCH(AC26,Hilfstabelle!$A$1:$A$71,0)&gt;=1,IF(MID(AC26,LEN(AC26)-4,1)="D",Allgemeines!$E$23,IF(MID(AC26,LEN(AC26)-4,1)="C",Allgemeines!$E$24,IF(MID(AC26,LEN(AC26)-4,1)="B",Allgemeines!$E$25,IF(MID(AC26,LEN(AC26)-4,1)="A",Allgemeines!$E$26,IF(MID(AC26,LEN(AC26)-4,1)="S",Allgemeines!$E$27,)))))),""),0))))</f>
        <v>0</v>
      </c>
      <c r="AG26" s="15" t="b">
        <f>IF(Allgemeines!$E$20&gt;=3,IFERROR(IF(MATCH(AC26,Hilfstabelle!$A$1:$A$71,0)&gt;=1,IF(MID(AC26,LEN(AC26)-4,1)="D",3,IF(MID(AC26,LEN(AC26)-4,1)="C",4,5))),""))</f>
        <v>0</v>
      </c>
      <c r="AH26" s="16" t="str">
        <f>IFERROR(IF(AND(AH25=0,IF(IFERROR(FIND("Finale",AD26,1),FALSE)=1,FALSE)),0,IF(AND(AC26&lt;&gt;"Pause",AD26&lt;&gt;"Finale",AE26&gt;1),CONCATENATE("00:",AG26*AF26*Allgemeines!$E$33),IF(AND(AC26="Pause",AD25=1,IFERROR(FIND("SE",AD26,1),0)),Allgemeines!$E$36*AF24,IF(IFERROR(FIND("Finale",AD26,1),0)&gt;0,TIME(0,20,0)*AF26,IF(AND(AC26="Pause",AH25&lt;&gt;0),Allgemeines!$E$30,TIME(0,0,0)))))),TIME(0,0,0))</f>
        <v>00:0</v>
      </c>
    </row>
    <row r="27" spans="1:34" x14ac:dyDescent="0.25">
      <c r="A27" s="45"/>
      <c r="B27" s="46"/>
      <c r="C27" s="44"/>
      <c r="D27" s="12">
        <f t="shared" ref="D27:D32" si="20">F26</f>
        <v>5.5555555555555566E-2</v>
      </c>
      <c r="E27" s="10">
        <f t="shared" si="0"/>
        <v>6.9444444444444441E-3</v>
      </c>
      <c r="F27" s="32">
        <f t="shared" ref="F27:F31" si="21">D27+E27</f>
        <v>6.2500000000000014E-2</v>
      </c>
      <c r="G27" s="40"/>
      <c r="H27" s="12">
        <f t="shared" si="11"/>
        <v>0.47222222222222204</v>
      </c>
      <c r="I27" s="13">
        <f>H27+P27</f>
        <v>0.47916666666666646</v>
      </c>
      <c r="J27" s="34"/>
      <c r="K27" s="15" t="s">
        <v>10</v>
      </c>
      <c r="L27" s="15" t="b">
        <f>IF(Allgemeines!$E$20&gt;=1,IF(Allgemeines!$E$40="x",CONCATENATE("SE ",K19),""))</f>
        <v>0</v>
      </c>
      <c r="M27" s="15"/>
      <c r="N27" s="15" t="b">
        <f>IF(Allgemeines!$E$20&gt;=1,IF(K27="Pause","",IF(M27=0,,ROUNDUP(M27/IFERROR(IF(MATCH(K27,Hilfstabelle!$A$1:$A$71,0)&gt;=1,IF(MID(K27,LEN(K27)-4,1)="D",Allgemeines!$E$23,IF(MID(K27,LEN(K27)-4,1)="C",Allgemeines!$E$24,IF(MID(K27,LEN(K27)-4,1)="B",Allgemeines!$E$25,IF(MID(K27,LEN(K27)-4,1)="A",Allgemeines!$E$26,IF(MID(K27,LEN(K27)-4,1)="S",Allgemeines!$E$27,)))))),""),0))))</f>
        <v>0</v>
      </c>
      <c r="O27" s="15" t="b">
        <f>IF(Allgemeines!$E$20&gt;=1,IFERROR(IF(MATCH(K27,Hilfstabelle!$A$1:$A$71,0)&gt;=1,IF(MID(K27,LEN(K27)-4,1)="D",3,IF(MID(K27,LEN(K27)-4,1)="C",4,5))),""))</f>
        <v>0</v>
      </c>
      <c r="P27" s="16">
        <f>IFERROR(IF(AND(P26=0,IF(IFERROR(FIND("Finale",L27,1),FALSE)=1,FALSE)),0,IF(AND(K27&lt;&gt;"Pause",L27&lt;&gt;"Finale",M27&gt;1),CONCATENATE("00:",O27*N27*Allgemeines!$E$33),IF(AND(K27="Pause",L26=1,IFERROR(FIND("SE",L27,1),0)),Allgemeines!$E$36*N25,IF(IFERROR(FIND("Finale",L27,1),0)&gt;0,TIME(0,20,0)*N27,IF(AND(K27="Pause",P26&lt;&gt;0),Allgemeines!$E$30,TIME(0,0,0)))))),TIME(0,0,0))</f>
        <v>6.9444444444444441E-3</v>
      </c>
      <c r="Q27" s="12">
        <f t="shared" si="5"/>
        <v>0.47222222222222204</v>
      </c>
      <c r="R27" s="13">
        <f>Q27+Y27</f>
        <v>0.47916666666666646</v>
      </c>
      <c r="S27" s="14"/>
      <c r="T27" s="15" t="s">
        <v>10</v>
      </c>
      <c r="U27" s="15" t="b">
        <f>IF(Allgemeines!$E$20&gt;=2,IF(Allgemeines!$E$40="x",CONCATENATE("SE ",T19),""))</f>
        <v>0</v>
      </c>
      <c r="V27" s="15"/>
      <c r="W27" s="15" t="b">
        <f>IF(Allgemeines!$E$20&gt;=2,IF(T27="Pause","",IF(V27=0,,ROUNDUP(V27/IFERROR(IF(MATCH(T27,Hilfstabelle!$A$1:$A$71,0)&gt;=1,IF(MID(T27,LEN(T27)-4,1)="D",Allgemeines!$E$23,IF(MID(T27,LEN(T27)-4,1)="C",Allgemeines!$E$24,IF(MID(T27,LEN(T27)-4,1)="B",Allgemeines!$E$25,IF(MID(T27,LEN(T27)-4,1)="A",Allgemeines!$E$26,IF(MID(T27,LEN(T27)-4,1)="S",Allgemeines!$E$27,)))))),""),0))))</f>
        <v>0</v>
      </c>
      <c r="X27" s="15" t="b">
        <f>IF(Allgemeines!$E$20&gt;=2,IFERROR(IF(MATCH(T27,Hilfstabelle!$A$1:$A$71,0)&gt;=1,IF(MID(T27,LEN(T27)-4,1)="D",3,IF(MID(T27,LEN(T27)-4,1)="C",4,5))),""))</f>
        <v>0</v>
      </c>
      <c r="Y27" s="16">
        <f>IFERROR(IF(AND(Y26=0,IF(IFERROR(FIND("Finale",U27,1),FALSE)=1,FALSE)),0,IF(AND(T27&lt;&gt;"Pause",U27&lt;&gt;"Finale",V27&gt;1),CONCATENATE("00:",X27*W27*Allgemeines!$E$33),IF(AND(T27="Pause",U26=1,IFERROR(FIND("SE",U27,1),0)),Allgemeines!$E$36*W25,IF(IFERROR(FIND("Finale",U27,1),0)&gt;0,TIME(0,20,0)*W27,IF(AND(T27="Pause",Y26&lt;&gt;0),Allgemeines!$E$30,TIME(0,0,0)))))),TIME(0,0,0))</f>
        <v>6.9444444444444441E-3</v>
      </c>
      <c r="Z27" s="12">
        <f t="shared" si="6"/>
        <v>0.47222222222222204</v>
      </c>
      <c r="AA27" s="13">
        <f>Z27+AH27</f>
        <v>0.47916666666666646</v>
      </c>
      <c r="AB27" s="14"/>
      <c r="AC27" s="15" t="s">
        <v>10</v>
      </c>
      <c r="AD27" s="15" t="b">
        <f>IF(Allgemeines!$E$20&gt;=3,IF(Allgemeines!$E$40="x",CONCATENATE("SE ",AC19),""))</f>
        <v>0</v>
      </c>
      <c r="AE27" s="15"/>
      <c r="AF27" s="15" t="b">
        <f>IF(Allgemeines!$E$20&gt;=3,IF(AC27="Pause","",IF(AE27=0,,ROUNDUP(AE27/IFERROR(IF(MATCH(AC27,Hilfstabelle!$A$1:$A$71,0)&gt;=1,IF(MID(AC27,LEN(AC27)-4,1)="D",Allgemeines!$E$23,IF(MID(AC27,LEN(AC27)-4,1)="C",Allgemeines!$E$24,IF(MID(AC27,LEN(AC27)-4,1)="B",Allgemeines!$E$25,IF(MID(AC27,LEN(AC27)-4,1)="A",Allgemeines!$E$26,IF(MID(AC27,LEN(AC27)-4,1)="S",Allgemeines!$E$27,)))))),""),0))))</f>
        <v>0</v>
      </c>
      <c r="AG27" s="15" t="b">
        <f>IF(Allgemeines!$E$20&gt;=3,IFERROR(IF(MATCH(AC27,Hilfstabelle!$A$1:$A$71,0)&gt;=1,IF(MID(AC27,LEN(AC27)-4,1)="D",3,IF(MID(AC27,LEN(AC27)-4,1)="C",4,5))),""))</f>
        <v>0</v>
      </c>
      <c r="AH27" s="16">
        <f>IFERROR(IF(AND(AH26=0,IF(IFERROR(FIND("Finale",AD27,1),FALSE)=1,FALSE)),0,IF(AND(AC27&lt;&gt;"Pause",AD27&lt;&gt;"Finale",AE27&gt;1),CONCATENATE("00:",AG27*AF27*Allgemeines!$E$33),IF(AND(AC27="Pause",AD26=1,IFERROR(FIND("SE",AD27,1),0)),Allgemeines!$E$36*AF25,IF(IFERROR(FIND("Finale",AD27,1),0)&gt;0,TIME(0,20,0)*AF27,IF(AND(AC27="Pause",AH26&lt;&gt;0),Allgemeines!$E$30,TIME(0,0,0)))))),TIME(0,0,0))</f>
        <v>6.9444444444444441E-3</v>
      </c>
    </row>
    <row r="28" spans="1:34" x14ac:dyDescent="0.25">
      <c r="A28" s="45"/>
      <c r="B28" s="43"/>
      <c r="C28" s="47"/>
      <c r="D28" s="12">
        <f t="shared" si="20"/>
        <v>6.2500000000000014E-2</v>
      </c>
      <c r="E28" s="10" t="str">
        <f t="shared" si="0"/>
        <v>00:0</v>
      </c>
      <c r="F28" s="32">
        <f t="shared" si="21"/>
        <v>6.2500000000000014E-2</v>
      </c>
      <c r="G28" s="40"/>
      <c r="H28" s="12">
        <f t="shared" si="11"/>
        <v>0.47916666666666646</v>
      </c>
      <c r="I28" s="13">
        <f t="shared" ref="I28:I32" si="22">H28+P28</f>
        <v>0.47916666666666646</v>
      </c>
      <c r="J28" s="34" t="b">
        <f>IF(Allgemeines!$E$20&gt;=1,IF(K28="","",1))</f>
        <v>0</v>
      </c>
      <c r="K28" s="15" t="str">
        <f>K26</f>
        <v/>
      </c>
      <c r="L28" s="15">
        <v>2</v>
      </c>
      <c r="M28" s="15" t="b">
        <f>IF(Allgemeines!$E$20&gt;=1,IF(OR(ROUNDUP((M26/2)/6,0)*6=6,VLOOKUP(M26,Hilfstabelle!$F$2:$G$61,2,FALSE)&lt;=6,K28="Pause"),0,VLOOKUP(M26,Hilfstabelle!$F$2:$G$61,2,FALSE)))</f>
        <v>0</v>
      </c>
      <c r="N28" s="15" t="b">
        <f>IF(Allgemeines!$E$20&gt;=1,IF(K28="Pause","",IF(M28=0,,ROUNDUP(M28/IFERROR(IF(MATCH(K28,Hilfstabelle!$A$1:$A$71,0)&gt;=1,IF(MID(K28,LEN(K28)-4,1)="D",Allgemeines!$E$23,IF(MID(K28,LEN(K28)-4,1)="C",Allgemeines!$E$24,IF(MID(K28,LEN(K28)-4,1)="B",Allgemeines!$E$25,IF(MID(K28,LEN(K28)-4,1)="A",Allgemeines!$E$26,IF(MID(K28,LEN(K28)-4,1)="S",Allgemeines!$E$27,)))))),""),0))))</f>
        <v>0</v>
      </c>
      <c r="O28" s="15" t="b">
        <f>IF(Allgemeines!$E$20&gt;=1,IFERROR(IF(MATCH(K28,Hilfstabelle!$A$1:$A$71,0)&gt;=1,IF(MID(K28,LEN(K28)-4,1)="D",3,IF(MID(K28,LEN(K28)-4,1)="C",4,5))),""))</f>
        <v>0</v>
      </c>
      <c r="P28" s="16" t="str">
        <f>IFERROR(IF(AND(P27=0,IF(IFERROR(FIND("Finale",L28,1),FALSE)=1,FALSE)),0,IF(AND(K28&lt;&gt;"Pause",L28&lt;&gt;"Finale",M28&gt;1),CONCATENATE("00:",O28*N28*Allgemeines!$E$33),IF(AND(K28="Pause",L27=1,IFERROR(FIND("SE",L28,1),0)),Allgemeines!$E$36*N26,IF(IFERROR(FIND("Finale",L28,1),0)&gt;0,TIME(0,20,0)*N28,IF(AND(K28="Pause",P27&lt;&gt;0),Allgemeines!$E$30,TIME(0,0,0)))))),TIME(0,0,0))</f>
        <v>00:0</v>
      </c>
      <c r="Q28" s="12">
        <f t="shared" si="5"/>
        <v>0.47916666666666646</v>
      </c>
      <c r="R28" s="13">
        <f t="shared" ref="R28:R32" si="23">Q28+Y28</f>
        <v>0.47916666666666646</v>
      </c>
      <c r="S28" s="14" t="b">
        <f>IF(Allgemeines!$E$20&gt;=2,IF(T28="","",2))</f>
        <v>0</v>
      </c>
      <c r="T28" s="15" t="str">
        <f>T26</f>
        <v/>
      </c>
      <c r="U28" s="15">
        <v>2</v>
      </c>
      <c r="V28" s="15" t="b">
        <f>IF(Allgemeines!$E$20&gt;=2,IF(OR(ROUNDUP((V26/2)/6,0)*6=6,VLOOKUP(V26,Hilfstabelle!$F$2:$G$61,2,FALSE)&lt;=6,T28="Pause"),0,VLOOKUP(V26,Hilfstabelle!$F$2:$G$61,2,FALSE)))</f>
        <v>0</v>
      </c>
      <c r="W28" s="15" t="b">
        <f>IF(Allgemeines!$E$20&gt;=2,IF(T28="Pause","",IF(V28=0,,ROUNDUP(V28/IFERROR(IF(MATCH(T28,Hilfstabelle!$A$1:$A$71,0)&gt;=1,IF(MID(T28,LEN(T28)-4,1)="D",Allgemeines!$E$23,IF(MID(T28,LEN(T28)-4,1)="C",Allgemeines!$E$24,IF(MID(T28,LEN(T28)-4,1)="B",Allgemeines!$E$25,IF(MID(T28,LEN(T28)-4,1)="A",Allgemeines!$E$26,IF(MID(T28,LEN(T28)-4,1)="S",Allgemeines!$E$27,)))))),""),0))))</f>
        <v>0</v>
      </c>
      <c r="X28" s="15" t="b">
        <f>IF(Allgemeines!$E$20&gt;=2,IFERROR(IF(MATCH(T28,Hilfstabelle!$A$1:$A$71,0)&gt;=1,IF(MID(T28,LEN(T28)-4,1)="D",3,IF(MID(T28,LEN(T28)-4,1)="C",4,5))),""))</f>
        <v>0</v>
      </c>
      <c r="Y28" s="16" t="str">
        <f>IFERROR(IF(AND(Y27=0,IF(IFERROR(FIND("Finale",U28,1),FALSE)=1,FALSE)),0,IF(AND(T28&lt;&gt;"Pause",U28&lt;&gt;"Finale",V28&gt;1),CONCATENATE("00:",X28*W28*Allgemeines!$E$33),IF(AND(T28="Pause",U27=1,IFERROR(FIND("SE",U28,1),0)),Allgemeines!$E$36*W26,IF(IFERROR(FIND("Finale",U28,1),0)&gt;0,TIME(0,20,0)*W28,IF(AND(T28="Pause",Y27&lt;&gt;0),Allgemeines!$E$30,TIME(0,0,0)))))),TIME(0,0,0))</f>
        <v>00:0</v>
      </c>
      <c r="Z28" s="12">
        <f t="shared" si="6"/>
        <v>0.47916666666666646</v>
      </c>
      <c r="AA28" s="13">
        <f t="shared" ref="AA28:AA32" si="24">Z28+AH28</f>
        <v>0.47916666666666646</v>
      </c>
      <c r="AB28" s="14" t="b">
        <f>IF(Allgemeines!$E$20&gt;=3,IF(AC28="","",3))</f>
        <v>0</v>
      </c>
      <c r="AC28" s="15" t="str">
        <f>AC26</f>
        <v/>
      </c>
      <c r="AD28" s="15">
        <v>2</v>
      </c>
      <c r="AE28" s="15" t="b">
        <f>IF(Allgemeines!$E$20&gt;=3,IF(OR(ROUNDUP((AE26/2)/6,0)*6=6,VLOOKUP(AE26,Hilfstabelle!$F$2:$G$61,2,FALSE)&lt;=6,AC28="Pause"),0,VLOOKUP(AE26,Hilfstabelle!$F$2:$G$61,2,FALSE)))</f>
        <v>0</v>
      </c>
      <c r="AF28" s="15" t="b">
        <f>IF(Allgemeines!$E$20&gt;=3,IF(AC28="Pause","",IF(AE28=0,,ROUNDUP(AE28/IFERROR(IF(MATCH(AC28,Hilfstabelle!$A$1:$A$71,0)&gt;=1,IF(MID(AC28,LEN(AC28)-4,1)="D",Allgemeines!$E$23,IF(MID(AC28,LEN(AC28)-4,1)="C",Allgemeines!$E$24,IF(MID(AC28,LEN(AC28)-4,1)="B",Allgemeines!$E$25,IF(MID(AC28,LEN(AC28)-4,1)="A",Allgemeines!$E$26,IF(MID(AC28,LEN(AC28)-4,1)="S",Allgemeines!$E$27,)))))),""),0))))</f>
        <v>0</v>
      </c>
      <c r="AG28" s="15" t="b">
        <f>IF(Allgemeines!$E$20&gt;=3,IFERROR(IF(MATCH(AC28,Hilfstabelle!$A$1:$A$71,0)&gt;=1,IF(MID(AC28,LEN(AC28)-4,1)="D",3,IF(MID(AC28,LEN(AC28)-4,1)="C",4,5))),""))</f>
        <v>0</v>
      </c>
      <c r="AH28" s="16" t="str">
        <f>IFERROR(IF(AND(AH27=0,IF(IFERROR(FIND("Finale",AD28,1),FALSE)=1,FALSE)),0,IF(AND(AC28&lt;&gt;"Pause",AD28&lt;&gt;"Finale",AE28&gt;1),CONCATENATE("00:",AG28*AF28*Allgemeines!$E$33),IF(AND(AC28="Pause",AD27=1,IFERROR(FIND("SE",AD28,1),0)),Allgemeines!$E$36*AF26,IF(IFERROR(FIND("Finale",AD28,1),0)&gt;0,TIME(0,20,0)*AF28,IF(AND(AC28="Pause",AH27&lt;&gt;0),Allgemeines!$E$30,TIME(0,0,0)))))),TIME(0,0,0))</f>
        <v>00:0</v>
      </c>
    </row>
    <row r="29" spans="1:34" x14ac:dyDescent="0.25">
      <c r="A29" s="45"/>
      <c r="B29" s="43"/>
      <c r="C29" s="44"/>
      <c r="D29" s="12">
        <f t="shared" si="20"/>
        <v>6.2500000000000014E-2</v>
      </c>
      <c r="E29" s="10">
        <f t="shared" si="0"/>
        <v>6.9444444444444441E-3</v>
      </c>
      <c r="F29" s="32">
        <f t="shared" si="21"/>
        <v>6.9444444444444461E-2</v>
      </c>
      <c r="G29" s="40"/>
      <c r="H29" s="12">
        <f t="shared" si="11"/>
        <v>0.47916666666666646</v>
      </c>
      <c r="I29" s="13">
        <f t="shared" si="22"/>
        <v>0.48611111111111088</v>
      </c>
      <c r="J29" s="34"/>
      <c r="K29" s="15" t="s">
        <v>10</v>
      </c>
      <c r="L29" s="15"/>
      <c r="M29" s="15"/>
      <c r="N29" s="15" t="b">
        <f>IF(Allgemeines!$E$20&gt;=1,IF(K29="Pause","",IF(M29=0,,ROUNDUP(M29/IFERROR(IF(MATCH(K29,Hilfstabelle!$A$1:$A$71,0)&gt;=1,IF(MID(K29,LEN(K29)-4,1)="D",Allgemeines!$E$23,IF(MID(K29,LEN(K29)-4,1)="C",Allgemeines!$E$24,IF(MID(K29,LEN(K29)-4,1)="B",Allgemeines!$E$25,IF(MID(K29,LEN(K29)-4,1)="A",Allgemeines!$E$26,IF(MID(K29,LEN(K29)-4,1)="S",Allgemeines!$E$27,)))))),""),0))))</f>
        <v>0</v>
      </c>
      <c r="O29" s="15" t="b">
        <f>IF(Allgemeines!$E$20&gt;=1,IFERROR(IF(MATCH(K29,Hilfstabelle!$A$1:$A$71,0)&gt;=1,IF(MID(K29,LEN(K29)-4,1)="D",3,IF(MID(K29,LEN(K29)-4,1)="C",4,5))),""))</f>
        <v>0</v>
      </c>
      <c r="P29" s="16">
        <f>IFERROR(IF(AND(P28=0,IF(IFERROR(FIND("Finale",L29,1),FALSE)=1,FALSE)),0,IF(AND(K29&lt;&gt;"Pause",L29&lt;&gt;"Finale",M29&gt;1),CONCATENATE("00:",O29*N29*Allgemeines!$E$33),IF(AND(K29="Pause",L28=1,IFERROR(FIND("SE",L29,1),0)),Allgemeines!$E$36*N27,IF(IFERROR(FIND("Finale",L29,1),0)&gt;0,TIME(0,20,0)*N29,IF(AND(K29="Pause",P28&lt;&gt;0),Allgemeines!$E$30,TIME(0,0,0)))))),TIME(0,0,0))</f>
        <v>6.9444444444444441E-3</v>
      </c>
      <c r="Q29" s="12">
        <f t="shared" si="5"/>
        <v>0.47916666666666646</v>
      </c>
      <c r="R29" s="13">
        <f t="shared" si="23"/>
        <v>0.48611111111111088</v>
      </c>
      <c r="S29" s="14"/>
      <c r="T29" s="15" t="s">
        <v>10</v>
      </c>
      <c r="U29" s="15"/>
      <c r="V29" s="15"/>
      <c r="W29" s="15" t="b">
        <f>IF(Allgemeines!$E$20&gt;=2,IF(T29="Pause","",IF(V29=0,,ROUNDUP(V29/IFERROR(IF(MATCH(T29,Hilfstabelle!$A$1:$A$71,0)&gt;=1,IF(MID(T29,LEN(T29)-4,1)="D",Allgemeines!$E$23,IF(MID(T29,LEN(T29)-4,1)="C",Allgemeines!$E$24,IF(MID(T29,LEN(T29)-4,1)="B",Allgemeines!$E$25,IF(MID(T29,LEN(T29)-4,1)="A",Allgemeines!$E$26,IF(MID(T29,LEN(T29)-4,1)="S",Allgemeines!$E$27,)))))),""),0))))</f>
        <v>0</v>
      </c>
      <c r="X29" s="15" t="b">
        <f>IF(Allgemeines!$E$20&gt;=2,IFERROR(IF(MATCH(T29,Hilfstabelle!$A$1:$A$71,0)&gt;=1,IF(MID(T29,LEN(T29)-4,1)="D",3,IF(MID(T29,LEN(T29)-4,1)="C",4,5))),""))</f>
        <v>0</v>
      </c>
      <c r="Y29" s="16">
        <f>IFERROR(IF(AND(Y28=0,IF(IFERROR(FIND("Finale",U29,1),FALSE)=1,FALSE)),0,IF(AND(T29&lt;&gt;"Pause",U29&lt;&gt;"Finale",V29&gt;1),CONCATENATE("00:",X29*W29*Allgemeines!$E$33),IF(AND(T29="Pause",U28=1,IFERROR(FIND("SE",U29,1),0)),Allgemeines!$E$36*W27,IF(IFERROR(FIND("Finale",U29,1),0)&gt;0,TIME(0,20,0)*W29,IF(AND(T29="Pause",Y28&lt;&gt;0),Allgemeines!$E$30,TIME(0,0,0)))))),TIME(0,0,0))</f>
        <v>6.9444444444444441E-3</v>
      </c>
      <c r="Z29" s="12">
        <f t="shared" si="6"/>
        <v>0.47916666666666646</v>
      </c>
      <c r="AA29" s="13">
        <f t="shared" si="24"/>
        <v>0.48611111111111088</v>
      </c>
      <c r="AB29" s="14"/>
      <c r="AC29" s="15" t="s">
        <v>10</v>
      </c>
      <c r="AD29" s="15"/>
      <c r="AE29" s="15"/>
      <c r="AF29" s="15" t="b">
        <f>IF(Allgemeines!$E$20&gt;=3,IF(AC29="Pause","",IF(AE29=0,,ROUNDUP(AE29/IFERROR(IF(MATCH(AC29,Hilfstabelle!$A$1:$A$71,0)&gt;=1,IF(MID(AC29,LEN(AC29)-4,1)="D",Allgemeines!$E$23,IF(MID(AC29,LEN(AC29)-4,1)="C",Allgemeines!$E$24,IF(MID(AC29,LEN(AC29)-4,1)="B",Allgemeines!$E$25,IF(MID(AC29,LEN(AC29)-4,1)="A",Allgemeines!$E$26,IF(MID(AC29,LEN(AC29)-4,1)="S",Allgemeines!$E$27,)))))),""),0))))</f>
        <v>0</v>
      </c>
      <c r="AG29" s="15" t="b">
        <f>IF(Allgemeines!$E$20&gt;=3,IFERROR(IF(MATCH(AC29,Hilfstabelle!$A$1:$A$71,0)&gt;=1,IF(MID(AC29,LEN(AC29)-4,1)="D",3,IF(MID(AC29,LEN(AC29)-4,1)="C",4,5))),""))</f>
        <v>0</v>
      </c>
      <c r="AH29" s="16">
        <f>IFERROR(IF(AND(AH28=0,IF(IFERROR(FIND("Finale",AD29,1),FALSE)=1,FALSE)),0,IF(AND(AC29&lt;&gt;"Pause",AD29&lt;&gt;"Finale",AE29&gt;1),CONCATENATE("00:",AG29*AF29*Allgemeines!$E$33),IF(AND(AC29="Pause",AD28=1,IFERROR(FIND("SE",AD29,1),0)),Allgemeines!$E$36*AF27,IF(IFERROR(FIND("Finale",AD29,1),0)&gt;0,TIME(0,20,0)*AF29,IF(AND(AC29="Pause",AH28&lt;&gt;0),Allgemeines!$E$30,TIME(0,0,0)))))),TIME(0,0,0))</f>
        <v>6.9444444444444441E-3</v>
      </c>
    </row>
    <row r="30" spans="1:34" x14ac:dyDescent="0.25">
      <c r="A30" s="45"/>
      <c r="B30" s="43"/>
      <c r="C30" s="44"/>
      <c r="D30" s="12">
        <f t="shared" si="20"/>
        <v>6.9444444444444461E-2</v>
      </c>
      <c r="E30" s="10" t="str">
        <f t="shared" si="0"/>
        <v>00:0</v>
      </c>
      <c r="F30" s="32">
        <f t="shared" si="21"/>
        <v>6.9444444444444461E-2</v>
      </c>
      <c r="G30" s="40"/>
      <c r="H30" s="12">
        <f t="shared" si="11"/>
        <v>0.48611111111111088</v>
      </c>
      <c r="I30" s="13">
        <f t="shared" si="22"/>
        <v>0.48611111111111088</v>
      </c>
      <c r="J30" s="34" t="b">
        <f>IF(Allgemeines!$E$20&gt;=1,IF(K30="","",1))</f>
        <v>0</v>
      </c>
      <c r="K30" s="15" t="str">
        <f>K26</f>
        <v/>
      </c>
      <c r="L30" s="15">
        <v>3</v>
      </c>
      <c r="M30" s="15" t="b">
        <f>IF(Allgemeines!$E$20&gt;=1,IFERROR(IF(OR(ROUNDUP((M28/2)/6,0)*6=6,VLOOKUP(M28,Hilfstabelle!$F$2:$G$61,2,FALSE)&lt;6,K30="Pause"),0,VLOOKUP(M28,Hilfstabelle!$F$2:$G$61,2,FALSE)),0))</f>
        <v>0</v>
      </c>
      <c r="N30" s="15" t="b">
        <f>IF(Allgemeines!$E$20&gt;=1,IF(K30="Pause","",IF(M30=0,,ROUNDUP(M30/IFERROR(IF(MATCH(K30,Hilfstabelle!$A$1:$A$71,0)&gt;=1,IF(MID(K30,LEN(K30)-4,1)="D",Allgemeines!$E$23,IF(MID(K30,LEN(K30)-4,1)="C",Allgemeines!$E$24,IF(MID(K30,LEN(K30)-4,1)="B",Allgemeines!$E$25,IF(MID(K30,LEN(K30)-4,1)="A",Allgemeines!$E$26,IF(MID(K30,LEN(K30)-4,1)="S",Allgemeines!$E$27,)))))),""),0))))</f>
        <v>0</v>
      </c>
      <c r="O30" s="15" t="b">
        <f>IF(Allgemeines!$E$20&gt;=1,IFERROR(IF(MATCH(K30,Hilfstabelle!$A$1:$A$71,0)&gt;=1,IF(MID(K30,LEN(K30)-4,1)="D",3,IF(MID(K30,LEN(K30)-4,1)="C",4,5))),""))</f>
        <v>0</v>
      </c>
      <c r="P30" s="16" t="str">
        <f>IFERROR(IF(AND(P29=0,IF(IFERROR(FIND("Finale",L30,1),FALSE)=1,FALSE)),0,IF(AND(K30&lt;&gt;"Pause",L30&lt;&gt;"Finale",M30&gt;1),CONCATENATE("00:",O30*N30*Allgemeines!$E$33),IF(AND(K30="Pause",L29=1,IFERROR(FIND("SE",L30,1),0)),Allgemeines!$E$36*N28,IF(IFERROR(FIND("Finale",L30,1),0)&gt;0,TIME(0,20,0)*N30,IF(AND(K30="Pause",P29&lt;&gt;0),Allgemeines!$E$30,TIME(0,0,0)))))),TIME(0,0,0))</f>
        <v>00:0</v>
      </c>
      <c r="Q30" s="12">
        <f t="shared" si="5"/>
        <v>0.48611111111111088</v>
      </c>
      <c r="R30" s="13">
        <f t="shared" si="23"/>
        <v>0.48611111111111088</v>
      </c>
      <c r="S30" s="14" t="b">
        <f>IF(Allgemeines!$E$20&gt;=2,IF(T30="","",2))</f>
        <v>0</v>
      </c>
      <c r="T30" s="15" t="str">
        <f>T26</f>
        <v/>
      </c>
      <c r="U30" s="15">
        <v>3</v>
      </c>
      <c r="V30" s="15" t="str">
        <f>IF(Allgemeines!$E$20&gt;=2,IFERROR(IF(OR(ROUNDUP((V28/2)/6,0)*6=6,VLOOKUP(V28,Hilfstabelle!$F$2:$G$61,2,FALSE)&lt;6,T30="Pause"),0,VLOOKUP(V28,Hilfstabelle!$F$2:$G$61,2,FALSE)),0),"")</f>
        <v/>
      </c>
      <c r="W30" s="15" t="b">
        <f>IF(Allgemeines!$E$20&gt;=2,IF(T30="Pause","",IF(V30=0,,ROUNDUP(V30/IFERROR(IF(MATCH(T30,Hilfstabelle!$A$1:$A$71,0)&gt;=1,IF(MID(T30,LEN(T30)-4,1)="D",Allgemeines!$E$23,IF(MID(T30,LEN(T30)-4,1)="C",Allgemeines!$E$24,IF(MID(T30,LEN(T30)-4,1)="B",Allgemeines!$E$25,IF(MID(T30,LEN(T30)-4,1)="A",Allgemeines!$E$26,IF(MID(T30,LEN(T30)-4,1)="S",Allgemeines!$E$27,)))))),""),0))))</f>
        <v>0</v>
      </c>
      <c r="X30" s="15" t="b">
        <f>IF(Allgemeines!$E$20&gt;=2,IFERROR(IF(MATCH(T30,Hilfstabelle!$A$1:$A$71,0)&gt;=1,IF(MID(T30,LEN(T30)-4,1)="D",3,IF(MID(T30,LEN(T30)-4,1)="C",4,5))),""))</f>
        <v>0</v>
      </c>
      <c r="Y30" s="16" t="str">
        <f>IFERROR(IF(AND(Y29=0,IF(IFERROR(FIND("Finale",U30,1),FALSE)=1,FALSE)),0,IF(AND(T30&lt;&gt;"Pause",U30&lt;&gt;"Finale",V30&gt;1),CONCATENATE("00:",X30*W30*Allgemeines!$E$33),IF(AND(T30="Pause",U29=1,IFERROR(FIND("SE",U30,1),0)),Allgemeines!$E$36*W28,IF(IFERROR(FIND("Finale",U30,1),0)&gt;0,TIME(0,20,0)*W30,IF(AND(T30="Pause",Y29&lt;&gt;0),Allgemeines!$E$30,TIME(0,0,0)))))),TIME(0,0,0))</f>
        <v>00:0</v>
      </c>
      <c r="Z30" s="12">
        <f t="shared" si="6"/>
        <v>0.48611111111111088</v>
      </c>
      <c r="AA30" s="13">
        <f t="shared" si="24"/>
        <v>0.48611111111111088</v>
      </c>
      <c r="AB30" s="14" t="b">
        <f>IF(Allgemeines!$E$20&gt;=3,IF(AC30="","",3))</f>
        <v>0</v>
      </c>
      <c r="AC30" s="15" t="str">
        <f>AC26</f>
        <v/>
      </c>
      <c r="AD30" s="15">
        <v>3</v>
      </c>
      <c r="AE30" s="15" t="str">
        <f>IF(Allgemeines!$E$20&gt;=3,IFERROR(IF(OR(ROUNDUP((AE28/2)/6,0)*6=6,VLOOKUP(AE28,Hilfstabelle!$F$2:$G$61,2,FALSE)&lt;6,AC30="Pause"),0,VLOOKUP(AE28,Hilfstabelle!$F$2:$G$61,2,FALSE)),0),"")</f>
        <v/>
      </c>
      <c r="AF30" s="15" t="b">
        <f>IF(Allgemeines!$E$20&gt;=3,IF(AC30="Pause","",IF(AE30=0,,ROUNDUP(AE30/IFERROR(IF(MATCH(AC30,Hilfstabelle!$A$1:$A$71,0)&gt;=1,IF(MID(AC30,LEN(AC30)-4,1)="D",Allgemeines!$E$23,IF(MID(AC30,LEN(AC30)-4,1)="C",Allgemeines!$E$24,IF(MID(AC30,LEN(AC30)-4,1)="B",Allgemeines!$E$25,IF(MID(AC30,LEN(AC30)-4,1)="A",Allgemeines!$E$26,IF(MID(AC30,LEN(AC30)-4,1)="S",Allgemeines!$E$27,)))))),""),0))))</f>
        <v>0</v>
      </c>
      <c r="AG30" s="15" t="b">
        <f>IF(Allgemeines!$E$20&gt;=3,IFERROR(IF(MATCH(AC30,Hilfstabelle!$A$1:$A$71,0)&gt;=1,IF(MID(AC30,LEN(AC30)-4,1)="D",3,IF(MID(AC30,LEN(AC30)-4,1)="C",4,5))),""))</f>
        <v>0</v>
      </c>
      <c r="AH30" s="16" t="str">
        <f>IFERROR(IF(AND(AH29=0,IF(IFERROR(FIND("Finale",AD30,1),FALSE)=1,FALSE)),0,IF(AND(AC30&lt;&gt;"Pause",AD30&lt;&gt;"Finale",AE30&gt;1),CONCATENATE("00:",AG30*AF30*Allgemeines!$E$33),IF(AND(AC30="Pause",AD29=1,IFERROR(FIND("SE",AD30,1),0)),Allgemeines!$E$36*AF28,IF(IFERROR(FIND("Finale",AD30,1),0)&gt;0,TIME(0,20,0)*AF30,IF(AND(AC30="Pause",AH29&lt;&gt;0),Allgemeines!$E$30,TIME(0,0,0)))))),TIME(0,0,0))</f>
        <v>00:0</v>
      </c>
    </row>
    <row r="31" spans="1:34" x14ac:dyDescent="0.25">
      <c r="A31" s="45"/>
      <c r="B31" s="43"/>
      <c r="C31" s="44"/>
      <c r="D31" s="12">
        <f t="shared" si="20"/>
        <v>6.9444444444444461E-2</v>
      </c>
      <c r="E31" s="10">
        <f t="shared" si="0"/>
        <v>6.9444444444444441E-3</v>
      </c>
      <c r="F31" s="32">
        <f t="shared" si="21"/>
        <v>7.6388888888888909E-2</v>
      </c>
      <c r="G31" s="40"/>
      <c r="H31" s="12">
        <f t="shared" si="11"/>
        <v>0.48611111111111088</v>
      </c>
      <c r="I31" s="13">
        <f t="shared" si="22"/>
        <v>0.4930555555555553</v>
      </c>
      <c r="J31" s="34"/>
      <c r="K31" s="15" t="s">
        <v>10</v>
      </c>
      <c r="L31" s="15"/>
      <c r="M31" s="15"/>
      <c r="N31" s="15" t="b">
        <f>IF(Allgemeines!$E$20&gt;=1,IF(K31="Pause","",IF(M31=0,,ROUNDUP(M31/IFERROR(IF(MATCH(K31,Hilfstabelle!$A$1:$A$71,0)&gt;=1,IF(MID(K31,LEN(K31)-4,1)="D",Allgemeines!$E$23,IF(MID(K31,LEN(K31)-4,1)="C",Allgemeines!$E$24,IF(MID(K31,LEN(K31)-4,1)="B",Allgemeines!$E$25,IF(MID(K31,LEN(K31)-4,1)="A",Allgemeines!$E$26,IF(MID(K31,LEN(K31)-4,1)="S",Allgemeines!$E$27,)))))),""),0))))</f>
        <v>0</v>
      </c>
      <c r="O31" s="15" t="b">
        <f>IF(Allgemeines!$E$20&gt;=1,IFERROR(IF(MATCH(K31,Hilfstabelle!$A$1:$A$71,0)&gt;=1,IF(MID(K31,LEN(K31)-4,1)="D",3,IF(MID(K31,LEN(K31)-4,1)="C",4,5))),""))</f>
        <v>0</v>
      </c>
      <c r="P31" s="16">
        <f>IFERROR(IF(AND(P30=0,IF(IFERROR(FIND("Finale",L31,1),FALSE)=1,FALSE)),0,IF(AND(K31&lt;&gt;"Pause",L31&lt;&gt;"Finale",M31&gt;1),CONCATENATE("00:",O31*N31*Allgemeines!$E$33),IF(AND(K31="Pause",L30=1,IFERROR(FIND("SE",L31,1),0)),Allgemeines!$E$36*N29,IF(IFERROR(FIND("Finale",L31,1),0)&gt;0,TIME(0,20,0)*N31,IF(AND(K31="Pause",P30&lt;&gt;0),Allgemeines!$E$30,TIME(0,0,0)))))),TIME(0,0,0))</f>
        <v>6.9444444444444441E-3</v>
      </c>
      <c r="Q31" s="12">
        <f t="shared" si="5"/>
        <v>0.48611111111111088</v>
      </c>
      <c r="R31" s="13">
        <f t="shared" si="23"/>
        <v>0.4930555555555553</v>
      </c>
      <c r="S31" s="14"/>
      <c r="T31" s="15" t="s">
        <v>10</v>
      </c>
      <c r="U31" s="15"/>
      <c r="V31" s="15"/>
      <c r="W31" s="15" t="b">
        <f>IF(Allgemeines!$E$20&gt;=2,IF(T31="Pause","",IF(V31=0,,ROUNDUP(V31/IFERROR(IF(MATCH(T31,Hilfstabelle!$A$1:$A$71,0)&gt;=1,IF(MID(T31,LEN(T31)-4,1)="D",Allgemeines!$E$23,IF(MID(T31,LEN(T31)-4,1)="C",Allgemeines!$E$24,IF(MID(T31,LEN(T31)-4,1)="B",Allgemeines!$E$25,IF(MID(T31,LEN(T31)-4,1)="A",Allgemeines!$E$26,IF(MID(T31,LEN(T31)-4,1)="S",Allgemeines!$E$27,)))))),""),0))))</f>
        <v>0</v>
      </c>
      <c r="X31" s="15" t="b">
        <f>IF(Allgemeines!$E$20&gt;=2,IFERROR(IF(MATCH(T31,Hilfstabelle!$A$1:$A$71,0)&gt;=1,IF(MID(T31,LEN(T31)-4,1)="D",3,IF(MID(T31,LEN(T31)-4,1)="C",4,5))),""))</f>
        <v>0</v>
      </c>
      <c r="Y31" s="16">
        <f>IFERROR(IF(AND(Y30=0,IF(IFERROR(FIND("Finale",U31,1),FALSE)=1,FALSE)),0,IF(AND(T31&lt;&gt;"Pause",U31&lt;&gt;"Finale",V31&gt;1),CONCATENATE("00:",X31*W31*Allgemeines!$E$33),IF(AND(T31="Pause",U30=1,IFERROR(FIND("SE",U31,1),0)),Allgemeines!$E$36*W29,IF(IFERROR(FIND("Finale",U31,1),0)&gt;0,TIME(0,20,0)*W31,IF(AND(T31="Pause",Y30&lt;&gt;0),Allgemeines!$E$30,TIME(0,0,0)))))),TIME(0,0,0))</f>
        <v>6.9444444444444441E-3</v>
      </c>
      <c r="Z31" s="12">
        <f t="shared" si="6"/>
        <v>0.48611111111111088</v>
      </c>
      <c r="AA31" s="13">
        <f t="shared" si="24"/>
        <v>0.4930555555555553</v>
      </c>
      <c r="AB31" s="14"/>
      <c r="AC31" s="15" t="s">
        <v>10</v>
      </c>
      <c r="AD31" s="15"/>
      <c r="AE31" s="15"/>
      <c r="AF31" s="15" t="b">
        <f>IF(Allgemeines!$E$20&gt;=3,IF(AC31="Pause","",IF(AE31=0,,ROUNDUP(AE31/IFERROR(IF(MATCH(AC31,Hilfstabelle!$A$1:$A$71,0)&gt;=1,IF(MID(AC31,LEN(AC31)-4,1)="D",Allgemeines!$E$23,IF(MID(AC31,LEN(AC31)-4,1)="C",Allgemeines!$E$24,IF(MID(AC31,LEN(AC31)-4,1)="B",Allgemeines!$E$25,IF(MID(AC31,LEN(AC31)-4,1)="A",Allgemeines!$E$26,IF(MID(AC31,LEN(AC31)-4,1)="S",Allgemeines!$E$27,)))))),""),0))))</f>
        <v>0</v>
      </c>
      <c r="AG31" s="15" t="b">
        <f>IF(Allgemeines!$E$20&gt;=3,IFERROR(IF(MATCH(AC31,Hilfstabelle!$A$1:$A$71,0)&gt;=1,IF(MID(AC31,LEN(AC31)-4,1)="D",3,IF(MID(AC31,LEN(AC31)-4,1)="C",4,5))),""))</f>
        <v>0</v>
      </c>
      <c r="AH31" s="16">
        <f>IFERROR(IF(AND(AH30=0,IF(IFERROR(FIND("Finale",AD31,1),FALSE)=1,FALSE)),0,IF(AND(AC31&lt;&gt;"Pause",AD31&lt;&gt;"Finale",AE31&gt;1),CONCATENATE("00:",AG31*AF31*Allgemeines!$E$33),IF(AND(AC31="Pause",AD30=1,IFERROR(FIND("SE",AD31,1),0)),Allgemeines!$E$36*AF29,IF(IFERROR(FIND("Finale",AD31,1),0)&gt;0,TIME(0,20,0)*AF31,IF(AND(AC31="Pause",AH30&lt;&gt;0),Allgemeines!$E$30,TIME(0,0,0)))))),TIME(0,0,0))</f>
        <v>6.9444444444444441E-3</v>
      </c>
    </row>
    <row r="32" spans="1:34" x14ac:dyDescent="0.25">
      <c r="A32" s="48"/>
      <c r="B32" s="49"/>
      <c r="C32" s="50">
        <f>A26+B26</f>
        <v>0</v>
      </c>
      <c r="D32" s="19">
        <f t="shared" si="20"/>
        <v>7.6388888888888909E-2</v>
      </c>
      <c r="E32" s="17" t="str">
        <f t="shared" si="0"/>
        <v>00:0</v>
      </c>
      <c r="F32" s="37">
        <f>D32+E32</f>
        <v>7.6388888888888909E-2</v>
      </c>
      <c r="G32" s="41">
        <f>F32-D26</f>
        <v>2.0833333333333343E-2</v>
      </c>
      <c r="H32" s="19">
        <f t="shared" si="11"/>
        <v>0.4930555555555553</v>
      </c>
      <c r="I32" s="33">
        <f t="shared" si="22"/>
        <v>0.4930555555555553</v>
      </c>
      <c r="J32" s="35" t="str">
        <f>IF(K32="","",1)</f>
        <v/>
      </c>
      <c r="K32" s="21" t="str">
        <f>K26</f>
        <v/>
      </c>
      <c r="L32" s="21" t="str">
        <f>IF(Allgemeines!$E$20&gt;=1,IF(Allgemeines!$E$39="x","Finale + SE","Finale"),"")</f>
        <v/>
      </c>
      <c r="M32" s="21" t="b">
        <f>IF(Allgemeines!$E$20&gt;=1,IF(M26&gt;6,6,M26))</f>
        <v>0</v>
      </c>
      <c r="N32" s="21" t="b">
        <f>IF(Allgemeines!$E$20&gt;=1,IF(K32="Pause","",IF(M32=0,,ROUNDUP(M32/IFERROR(IF(MATCH(K32,Hilfstabelle!$A$1:$A$71,0)&gt;=1,IF(MID(K32,LEN(K32)-4,1)="D",Allgemeines!$E$23,IF(MID(K32,LEN(K32)-4,1)="C",Allgemeines!$E$24,IF(MID(K32,LEN(K32)-4,1)="B",Allgemeines!$E$25,IF(MID(K32,LEN(K32)-4,1)="A",Allgemeines!$E$26,IF(MID(K32,LEN(K32)-4,1)="S",Allgemeines!$E$27,)))))),""),0))))</f>
        <v>0</v>
      </c>
      <c r="O32" s="21" t="b">
        <f>IF(Allgemeines!$E$20&gt;=1,IFERROR(IF(MATCH(K32,Hilfstabelle!$A$1:$A$71,0)&gt;=1,IF(MID(K32,LEN(K32)-4,1)="D",3,IF(MID(K32,LEN(K32)-4,1)="C",4,5))),""))</f>
        <v>0</v>
      </c>
      <c r="P32" s="22" t="str">
        <f>IFERROR(IF(AND(P31=0,IF(IFERROR(FIND("Finale",L32,1),FALSE)=1,FALSE)),0,IF(AND(K32&lt;&gt;"Pause",L32&lt;&gt;"Finale",M32&gt;1),CONCATENATE("00:",O32*N32*Allgemeines!$E$33),IF(AND(K32="Pause",L31=1,IFERROR(FIND("SE",L32,1),0)),Allgemeines!$E$36*N30,IF(IFERROR(FIND("Finale",L32,1),0)&gt;0,TIME(0,20,0)*N32,IF(AND(K32="Pause",P31&lt;&gt;0),Allgemeines!$E$30,TIME(0,0,0)))))),TIME(0,0,0))</f>
        <v>00:0</v>
      </c>
      <c r="Q32" s="19">
        <f t="shared" si="5"/>
        <v>0.4930555555555553</v>
      </c>
      <c r="R32" s="18">
        <f t="shared" si="23"/>
        <v>0.4930555555555553</v>
      </c>
      <c r="S32" s="20" t="str">
        <f>IF(T32="","",2)</f>
        <v/>
      </c>
      <c r="T32" s="21" t="str">
        <f>T26</f>
        <v/>
      </c>
      <c r="U32" s="21" t="str">
        <f>IF(Allgemeines!$E$20&gt;=2,IF(Allgemeines!$E$39="x","Finale + SE","Finale"),"")</f>
        <v/>
      </c>
      <c r="V32" s="21" t="str">
        <f>IF(Allgemeines!$E$20&gt;=2,IF(V26&gt;6,6,V26),"")</f>
        <v/>
      </c>
      <c r="W32" s="21" t="b">
        <f>IF(Allgemeines!$E$20&gt;=2,IF(T32="Pause","",IF(V32=0,,ROUNDUP(V32/IFERROR(IF(MATCH(T32,Hilfstabelle!$A$1:$A$71,0)&gt;=1,IF(MID(T32,LEN(T32)-4,1)="D",Allgemeines!$E$23,IF(MID(T32,LEN(T32)-4,1)="C",Allgemeines!$E$24,IF(MID(T32,LEN(T32)-4,1)="B",Allgemeines!$E$25,IF(MID(T32,LEN(T32)-4,1)="A",Allgemeines!$E$26,IF(MID(T32,LEN(T32)-4,1)="S",Allgemeines!$E$27,)))))),""),0))))</f>
        <v>0</v>
      </c>
      <c r="X32" s="21" t="b">
        <f>IF(Allgemeines!$E$20&gt;=2,IFERROR(IF(MATCH(T32,Hilfstabelle!$A$1:$A$71,0)&gt;=1,IF(MID(T32,LEN(T32)-4,1)="D",3,IF(MID(T32,LEN(T32)-4,1)="C",4,5))),""))</f>
        <v>0</v>
      </c>
      <c r="Y32" s="22" t="str">
        <f>IFERROR(IF(AND(Y31=0,IF(IFERROR(FIND("Finale",U32,1),FALSE)=1,FALSE)),0,IF(AND(T32&lt;&gt;"Pause",U32&lt;&gt;"Finale",V32&gt;1),CONCATENATE("00:",X32*W32*Allgemeines!$E$33),IF(AND(T32="Pause",U31=1,IFERROR(FIND("SE",U32,1),0)),Allgemeines!$E$36*W30,IF(IFERROR(FIND("Finale",U32,1),0)&gt;0,TIME(0,20,0)*W32,IF(AND(T32="Pause",Y31&lt;&gt;0),Allgemeines!$E$30,TIME(0,0,0)))))),TIME(0,0,0))</f>
        <v>00:0</v>
      </c>
      <c r="Z32" s="19">
        <f t="shared" si="6"/>
        <v>0.4930555555555553</v>
      </c>
      <c r="AA32" s="18">
        <f t="shared" si="24"/>
        <v>0.4930555555555553</v>
      </c>
      <c r="AB32" s="20" t="str">
        <f>IF(AC32="","",3)</f>
        <v/>
      </c>
      <c r="AC32" s="21" t="str">
        <f>AC26</f>
        <v/>
      </c>
      <c r="AD32" s="21" t="str">
        <f>IF(Allgemeines!$E$20&gt;=3,IF(Allgemeines!$E$39="x","Finale + SE","Finale"),"")</f>
        <v/>
      </c>
      <c r="AE32" s="21" t="str">
        <f>IF(Allgemeines!$E$20&gt;=3,IF(AE26&gt;6,6,AE26),"")</f>
        <v/>
      </c>
      <c r="AF32" s="21" t="b">
        <f>IF(Allgemeines!$E$20&gt;=3,IF(AC32="Pause","",IF(AE32=0,,ROUNDUP(AE32/IFERROR(IF(MATCH(AC32,Hilfstabelle!$A$1:$A$71,0)&gt;=1,IF(MID(AC32,LEN(AC32)-4,1)="D",Allgemeines!$E$23,IF(MID(AC32,LEN(AC32)-4,1)="C",Allgemeines!$E$24,IF(MID(AC32,LEN(AC32)-4,1)="B",Allgemeines!$E$25,IF(MID(AC32,LEN(AC32)-4,1)="A",Allgemeines!$E$26,IF(MID(AC32,LEN(AC32)-4,1)="S",Allgemeines!$E$27,)))))),""),0))))</f>
        <v>0</v>
      </c>
      <c r="AG32" s="21" t="b">
        <f>IF(Allgemeines!$E$20&gt;=3,IFERROR(IF(MATCH(AC32,Hilfstabelle!$A$1:$A$71,0)&gt;=1,IF(MID(AC32,LEN(AC32)-4,1)="D",3,IF(MID(AC32,LEN(AC32)-4,1)="C",4,5))),""))</f>
        <v>0</v>
      </c>
      <c r="AH32" s="22" t="str">
        <f>IFERROR(IF(AND(AH31=0,IF(IFERROR(FIND("Finale",AD32,1),FALSE)=1,FALSE)),0,IF(AND(AC32&lt;&gt;"Pause",AD32&lt;&gt;"Finale",AE32&gt;1),CONCATENATE("00:",AG32*AF32*Allgemeines!$E$33),IF(AND(AC32="Pause",AD31=1,IFERROR(FIND("SE",AD32,1),0)),Allgemeines!$E$36*AF30,IF(IFERROR(FIND("Finale",AD32,1),0)&gt;0,TIME(0,20,0)*AF32,IF(AND(AC32="Pause",AH31&lt;&gt;0),Allgemeines!$E$30,TIME(0,0,0)))))),TIME(0,0,0))</f>
        <v>00:0</v>
      </c>
    </row>
    <row r="33" spans="1:34" x14ac:dyDescent="0.25">
      <c r="A33" s="42">
        <f>Allgemeines!$B$9</f>
        <v>0</v>
      </c>
      <c r="B33" s="43">
        <f>Allgemeines!$C$9-Allgemeines!$B$9</f>
        <v>0</v>
      </c>
      <c r="C33" s="44"/>
      <c r="D33" s="36">
        <f>F32</f>
        <v>7.6388888888888909E-2</v>
      </c>
      <c r="E33" s="11" t="str">
        <f t="shared" si="0"/>
        <v>00:0</v>
      </c>
      <c r="F33" s="30">
        <f>D33+E33</f>
        <v>7.6388888888888909E-2</v>
      </c>
      <c r="G33" s="39"/>
      <c r="H33" s="12">
        <f t="shared" si="11"/>
        <v>0.4930555555555553</v>
      </c>
      <c r="I33" s="13">
        <f>H33+P33</f>
        <v>0.4930555555555553</v>
      </c>
      <c r="J33" s="34" t="str">
        <f>IF(Allgemeines!$E$20&gt;=1,IF(K33="","",1),"")</f>
        <v/>
      </c>
      <c r="K33" s="15" t="str">
        <f>IF(Allgemeines!$E$20&gt;=1,Allgemeines!$D$9,"")</f>
        <v/>
      </c>
      <c r="L33" s="15">
        <v>1</v>
      </c>
      <c r="M33" s="15" t="b">
        <f>IF(Allgemeines!$E$20&gt;=1,Allgemeines!$E$9)</f>
        <v>0</v>
      </c>
      <c r="N33" s="15" t="b">
        <f>IF(Allgemeines!$E$20&gt;=1,IF(K33="Pause","",IF(M33=0,,ROUNDUP(M33/IFERROR(IF(MATCH(K33,Hilfstabelle!$A$1:$A$71,0)&gt;=1,IF(MID(K33,LEN(K33)-4,1)="D",Allgemeines!$E$23,IF(MID(K33,LEN(K33)-4,1)="C",Allgemeines!$E$24,IF(MID(K33,LEN(K33)-4,1)="B",Allgemeines!$E$25,IF(MID(K33,LEN(K33)-4,1)="A",Allgemeines!$E$26,IF(MID(K33,LEN(K33)-4,1)="S",Allgemeines!$E$27,)))))),""),0))))</f>
        <v>0</v>
      </c>
      <c r="O33" s="15" t="b">
        <f>IF(Allgemeines!$E$20&gt;=1,IFERROR(IF(MATCH(K33,Hilfstabelle!$A$1:$A$71,0)&gt;=1,IF(MID(K33,LEN(K33)-4,1)="D",3,IF(MID(K33,LEN(K33)-4,1)="C",4,5))),""))</f>
        <v>0</v>
      </c>
      <c r="P33" s="16" t="str">
        <f>IFERROR(IF(AND(P32=0,IF(IFERROR(FIND("Finale",L33,1),FALSE)=1,FALSE)),0,IF(AND(K33&lt;&gt;"Pause",L33&lt;&gt;"Finale",M33&gt;1),CONCATENATE("00:",O33*N33*Allgemeines!$E$33),IF(AND(K33="Pause",L32=1,IFERROR(FIND("SE",L33,1),0)),Allgemeines!$E$36*N31,IF(IFERROR(FIND("Finale",L33,1),0)&gt;0,TIME(0,20,0)*N33,IF(AND(K33="Pause",P32&lt;&gt;0),Allgemeines!$E$30,TIME(0,0,0)))))),TIME(0,0,0))</f>
        <v>00:0</v>
      </c>
      <c r="Q33" s="12">
        <f t="shared" si="5"/>
        <v>0.4930555555555553</v>
      </c>
      <c r="R33" s="13">
        <f>Q33+Y33</f>
        <v>0.4930555555555553</v>
      </c>
      <c r="S33" s="14" t="b">
        <f>IF(Allgemeines!$E$20&gt;=2,IF(T33="","",2))</f>
        <v>0</v>
      </c>
      <c r="T33" s="15" t="str">
        <f>IF(Allgemeines!$E$20&gt;=2,Allgemeines!$F$9,"")</f>
        <v/>
      </c>
      <c r="U33" s="15">
        <v>1</v>
      </c>
      <c r="V33" s="15" t="b">
        <f>IF(Allgemeines!$E$20&gt;=2,Allgemeines!$G$9)</f>
        <v>0</v>
      </c>
      <c r="W33" s="15" t="b">
        <f>IF(Allgemeines!$E$20&gt;=2,IF(T33="Pause","",IF(V33=0,,ROUNDUP(V33/IFERROR(IF(MATCH(T33,Hilfstabelle!$A$1:$A$71,0)&gt;=1,IF(MID(T33,LEN(T33)-4,1)="D",Allgemeines!$E$23,IF(MID(T33,LEN(T33)-4,1)="C",Allgemeines!$E$24,IF(MID(T33,LEN(T33)-4,1)="B",Allgemeines!$E$25,IF(MID(T33,LEN(T33)-4,1)="A",Allgemeines!$E$26,IF(MID(T33,LEN(T33)-4,1)="S",Allgemeines!$E$27,)))))),""),0))))</f>
        <v>0</v>
      </c>
      <c r="X33" s="15" t="b">
        <f>IF(Allgemeines!$E$20&gt;=2,IFERROR(IF(MATCH(T33,Hilfstabelle!$A$1:$A$71,0)&gt;=1,IF(MID(T33,LEN(T33)-4,1)="D",3,IF(MID(T33,LEN(T33)-4,1)="C",4,5))),""))</f>
        <v>0</v>
      </c>
      <c r="Y33" s="16" t="str">
        <f>IFERROR(IF(AND(Y32=0,IF(IFERROR(FIND("Finale",U33,1),FALSE)=1,FALSE)),0,IF(AND(T33&lt;&gt;"Pause",U33&lt;&gt;"Finale",V33&gt;1),CONCATENATE("00:",X33*W33*Allgemeines!$E$33),IF(AND(T33="Pause",U32=1,IFERROR(FIND("SE",U33,1),0)),Allgemeines!$E$36*W31,IF(IFERROR(FIND("Finale",U33,1),0)&gt;0,TIME(0,20,0)*W33,IF(AND(T33="Pause",Y32&lt;&gt;0),Allgemeines!$E$30,TIME(0,0,0)))))),TIME(0,0,0))</f>
        <v>00:0</v>
      </c>
      <c r="Z33" s="12">
        <f t="shared" si="6"/>
        <v>0.4930555555555553</v>
      </c>
      <c r="AA33" s="13">
        <f>Z33+AH33</f>
        <v>0.4930555555555553</v>
      </c>
      <c r="AB33" s="14" t="b">
        <f>IF(Allgemeines!$E$20&gt;=3,IF(AC33="","",3))</f>
        <v>0</v>
      </c>
      <c r="AC33" s="15" t="str">
        <f>IF(Allgemeines!$E$20&gt;=3,Allgemeines!$H$9,"")</f>
        <v/>
      </c>
      <c r="AD33" s="15">
        <v>1</v>
      </c>
      <c r="AE33" s="15" t="b">
        <f>IF(Allgemeines!$E$20&gt;=3,Allgemeines!$I$9)</f>
        <v>0</v>
      </c>
      <c r="AF33" s="15" t="b">
        <f>IF(Allgemeines!$E$20&gt;=3,IF(AC33="Pause","",IF(AE33=0,,ROUNDUP(AE33/IFERROR(IF(MATCH(AC33,Hilfstabelle!$A$1:$A$71,0)&gt;=1,IF(MID(AC33,LEN(AC33)-4,1)="D",Allgemeines!$E$23,IF(MID(AC33,LEN(AC33)-4,1)="C",Allgemeines!$E$24,IF(MID(AC33,LEN(AC33)-4,1)="B",Allgemeines!$E$25,IF(MID(AC33,LEN(AC33)-4,1)="A",Allgemeines!$E$26,IF(MID(AC33,LEN(AC33)-4,1)="S",Allgemeines!$E$27,)))))),""),0))))</f>
        <v>0</v>
      </c>
      <c r="AG33" s="15" t="b">
        <f>IF(Allgemeines!$E$20&gt;=3,IFERROR(IF(MATCH(AC33,Hilfstabelle!$A$1:$A$71,0)&gt;=1,IF(MID(AC33,LEN(AC33)-4,1)="D",3,IF(MID(AC33,LEN(AC33)-4,1)="C",4,5))),""))</f>
        <v>0</v>
      </c>
      <c r="AH33" s="16" t="str">
        <f>IFERROR(IF(AND(AH32=0,IF(IFERROR(FIND("Finale",AD33,1),FALSE)=1,FALSE)),0,IF(AND(AC33&lt;&gt;"Pause",AD33&lt;&gt;"Finale",AE33&gt;1),CONCATENATE("00:",AG33*AF33*Allgemeines!$E$33),IF(AND(AC33="Pause",AD32=1,IFERROR(FIND("SE",AD33,1),0)),Allgemeines!$E$36*AF31,IF(IFERROR(FIND("Finale",AD33,1),0)&gt;0,TIME(0,20,0)*AF33,IF(AND(AC33="Pause",AH32&lt;&gt;0),Allgemeines!$E$30,TIME(0,0,0)))))),TIME(0,0,0))</f>
        <v>00:0</v>
      </c>
    </row>
    <row r="34" spans="1:34" x14ac:dyDescent="0.25">
      <c r="A34" s="45"/>
      <c r="B34" s="46"/>
      <c r="C34" s="44"/>
      <c r="D34" s="31">
        <f>F33</f>
        <v>7.6388888888888909E-2</v>
      </c>
      <c r="E34" s="10">
        <f t="shared" si="0"/>
        <v>6.9444444444444441E-3</v>
      </c>
      <c r="F34" s="32">
        <f t="shared" ref="F34:F38" si="25">D34+E34</f>
        <v>8.3333333333333356E-2</v>
      </c>
      <c r="G34" s="40"/>
      <c r="H34" s="12">
        <f t="shared" si="11"/>
        <v>0.4930555555555553</v>
      </c>
      <c r="I34" s="13">
        <f>H34+P34</f>
        <v>0.49999999999999972</v>
      </c>
      <c r="J34" s="34"/>
      <c r="K34" s="15" t="s">
        <v>10</v>
      </c>
      <c r="L34" s="15" t="b">
        <f>IF(Allgemeines!$E$20&gt;=1,IF(Allgemeines!$E$40="x",CONCATENATE("SE ",K26),""))</f>
        <v>0</v>
      </c>
      <c r="M34" s="15"/>
      <c r="N34" s="15" t="b">
        <f>IF(Allgemeines!$E$20&gt;=1,IF(K34="Pause","",IF(M34=0,,ROUNDUP(M34/IFERROR(IF(MATCH(K34,Hilfstabelle!$A$1:$A$71,0)&gt;=1,IF(MID(K34,LEN(K34)-4,1)="D",Allgemeines!$E$23,IF(MID(K34,LEN(K34)-4,1)="C",Allgemeines!$E$24,IF(MID(K34,LEN(K34)-4,1)="B",Allgemeines!$E$25,IF(MID(K34,LEN(K34)-4,1)="A",Allgemeines!$E$26,IF(MID(K34,LEN(K34)-4,1)="S",Allgemeines!$E$27,)))))),""),0))))</f>
        <v>0</v>
      </c>
      <c r="O34" s="15" t="b">
        <f>IF(Allgemeines!$E$20&gt;=1,IFERROR(IF(MATCH(K34,Hilfstabelle!$A$1:$A$71,0)&gt;=1,IF(MID(K34,LEN(K34)-4,1)="D",3,IF(MID(K34,LEN(K34)-4,1)="C",4,5))),""))</f>
        <v>0</v>
      </c>
      <c r="P34" s="16">
        <f>IFERROR(IF(AND(P33=0,IF(IFERROR(FIND("Finale",L34,1),FALSE)=1,FALSE)),0,IF(AND(K34&lt;&gt;"Pause",L34&lt;&gt;"Finale",M34&gt;1),CONCATENATE("00:",O34*N34*Allgemeines!$E$33),IF(AND(K34="Pause",L33=1,IFERROR(FIND("SE",L34,1),0)),Allgemeines!$E$36*N32,IF(IFERROR(FIND("Finale",L34,1),0)&gt;0,TIME(0,20,0)*N34,IF(AND(K34="Pause",P33&lt;&gt;0),Allgemeines!$E$30,TIME(0,0,0)))))),TIME(0,0,0))</f>
        <v>6.9444444444444441E-3</v>
      </c>
      <c r="Q34" s="12">
        <f t="shared" si="5"/>
        <v>0.4930555555555553</v>
      </c>
      <c r="R34" s="13">
        <f>Q34+Y34</f>
        <v>0.49999999999999972</v>
      </c>
      <c r="S34" s="14"/>
      <c r="T34" s="15" t="s">
        <v>10</v>
      </c>
      <c r="U34" s="15" t="b">
        <f>IF(Allgemeines!$E$20&gt;=2,IF(Allgemeines!$E$40="x",CONCATENATE("SE ",T26),""))</f>
        <v>0</v>
      </c>
      <c r="V34" s="15"/>
      <c r="W34" s="15" t="b">
        <f>IF(Allgemeines!$E$20&gt;=2,IF(T34="Pause","",IF(V34=0,,ROUNDUP(V34/IFERROR(IF(MATCH(T34,Hilfstabelle!$A$1:$A$71,0)&gt;=1,IF(MID(T34,LEN(T34)-4,1)="D",Allgemeines!$E$23,IF(MID(T34,LEN(T34)-4,1)="C",Allgemeines!$E$24,IF(MID(T34,LEN(T34)-4,1)="B",Allgemeines!$E$25,IF(MID(T34,LEN(T34)-4,1)="A",Allgemeines!$E$26,IF(MID(T34,LEN(T34)-4,1)="S",Allgemeines!$E$27,)))))),""),0))))</f>
        <v>0</v>
      </c>
      <c r="X34" s="15" t="b">
        <f>IF(Allgemeines!$E$20&gt;=2,IFERROR(IF(MATCH(T34,Hilfstabelle!$A$1:$A$71,0)&gt;=1,IF(MID(T34,LEN(T34)-4,1)="D",3,IF(MID(T34,LEN(T34)-4,1)="C",4,5))),""))</f>
        <v>0</v>
      </c>
      <c r="Y34" s="16">
        <f>IFERROR(IF(AND(Y33=0,IF(IFERROR(FIND("Finale",U34,1),FALSE)=1,FALSE)),0,IF(AND(T34&lt;&gt;"Pause",U34&lt;&gt;"Finale",V34&gt;1),CONCATENATE("00:",X34*W34*Allgemeines!$E$33),IF(AND(T34="Pause",U33=1,IFERROR(FIND("SE",U34,1),0)),Allgemeines!$E$36*W32,IF(IFERROR(FIND("Finale",U34,1),0)&gt;0,TIME(0,20,0)*W34,IF(AND(T34="Pause",Y33&lt;&gt;0),Allgemeines!$E$30,TIME(0,0,0)))))),TIME(0,0,0))</f>
        <v>6.9444444444444441E-3</v>
      </c>
      <c r="Z34" s="12">
        <f t="shared" si="6"/>
        <v>0.4930555555555553</v>
      </c>
      <c r="AA34" s="13">
        <f>Z34+AH34</f>
        <v>0.49999999999999972</v>
      </c>
      <c r="AB34" s="14"/>
      <c r="AC34" s="15" t="s">
        <v>10</v>
      </c>
      <c r="AD34" s="15" t="b">
        <f>IF(Allgemeines!$E$20&gt;=3,IF(Allgemeines!$E$40="x",CONCATENATE("SE ",AC26),""))</f>
        <v>0</v>
      </c>
      <c r="AE34" s="15"/>
      <c r="AF34" s="15" t="b">
        <f>IF(Allgemeines!$E$20&gt;=3,IF(AC34="Pause","",IF(AE34=0,,ROUNDUP(AE34/IFERROR(IF(MATCH(AC34,Hilfstabelle!$A$1:$A$71,0)&gt;=1,IF(MID(AC34,LEN(AC34)-4,1)="D",Allgemeines!$E$23,IF(MID(AC34,LEN(AC34)-4,1)="C",Allgemeines!$E$24,IF(MID(AC34,LEN(AC34)-4,1)="B",Allgemeines!$E$25,IF(MID(AC34,LEN(AC34)-4,1)="A",Allgemeines!$E$26,IF(MID(AC34,LEN(AC34)-4,1)="S",Allgemeines!$E$27,)))))),""),0))))</f>
        <v>0</v>
      </c>
      <c r="AG34" s="15" t="b">
        <f>IF(Allgemeines!$E$20&gt;=3,IFERROR(IF(MATCH(AC34,Hilfstabelle!$A$1:$A$71,0)&gt;=1,IF(MID(AC34,LEN(AC34)-4,1)="D",3,IF(MID(AC34,LEN(AC34)-4,1)="C",4,5))),""))</f>
        <v>0</v>
      </c>
      <c r="AH34" s="16">
        <f>IFERROR(IF(AND(AH33=0,IF(IFERROR(FIND("Finale",AD34,1),FALSE)=1,FALSE)),0,IF(AND(AC34&lt;&gt;"Pause",AD34&lt;&gt;"Finale",AE34&gt;1),CONCATENATE("00:",AG34*AF34*Allgemeines!$E$33),IF(AND(AC34="Pause",AD33=1,IFERROR(FIND("SE",AD34,1),0)),Allgemeines!$E$36*AF32,IF(IFERROR(FIND("Finale",AD34,1),0)&gt;0,TIME(0,20,0)*AF34,IF(AND(AC34="Pause",AH33&lt;&gt;0),Allgemeines!$E$30,TIME(0,0,0)))))),TIME(0,0,0))</f>
        <v>6.9444444444444441E-3</v>
      </c>
    </row>
    <row r="35" spans="1:34" x14ac:dyDescent="0.25">
      <c r="A35" s="45"/>
      <c r="B35" s="43"/>
      <c r="C35" s="47"/>
      <c r="D35" s="31">
        <f t="shared" ref="D35:D39" si="26">F34</f>
        <v>8.3333333333333356E-2</v>
      </c>
      <c r="E35" s="10" t="str">
        <f t="shared" si="0"/>
        <v>00:0</v>
      </c>
      <c r="F35" s="32">
        <f t="shared" si="25"/>
        <v>8.3333333333333356E-2</v>
      </c>
      <c r="G35" s="40"/>
      <c r="H35" s="12">
        <f t="shared" si="11"/>
        <v>0.49999999999999972</v>
      </c>
      <c r="I35" s="13">
        <f t="shared" ref="I35:I39" si="27">H35+P35</f>
        <v>0.49999999999999972</v>
      </c>
      <c r="J35" s="34" t="b">
        <f>IF(Allgemeines!$E$20&gt;=1,IF(K35="","",1))</f>
        <v>0</v>
      </c>
      <c r="K35" s="15" t="str">
        <f>K33</f>
        <v/>
      </c>
      <c r="L35" s="15">
        <v>2</v>
      </c>
      <c r="M35" s="15" t="b">
        <f>IF(Allgemeines!$E$20&gt;=1,IF(OR(ROUNDUP((M33/2)/6,0)*6=6,VLOOKUP(M33,Hilfstabelle!$F$2:$G$61,2,FALSE)&lt;=6,K35="Pause"),0,VLOOKUP(M33,Hilfstabelle!$F$2:$G$61,2,FALSE)))</f>
        <v>0</v>
      </c>
      <c r="N35" s="15" t="b">
        <f>IF(Allgemeines!$E$20&gt;=1,IF(K35="Pause","",IF(M35=0,,ROUNDUP(M35/IFERROR(IF(MATCH(K35,Hilfstabelle!$A$1:$A$71,0)&gt;=1,IF(MID(K35,LEN(K35)-4,1)="D",Allgemeines!$E$23,IF(MID(K35,LEN(K35)-4,1)="C",Allgemeines!$E$24,IF(MID(K35,LEN(K35)-4,1)="B",Allgemeines!$E$25,IF(MID(K35,LEN(K35)-4,1)="A",Allgemeines!$E$26,IF(MID(K35,LEN(K35)-4,1)="S",Allgemeines!$E$27,)))))),""),0))))</f>
        <v>0</v>
      </c>
      <c r="O35" s="15" t="b">
        <f>IF(Allgemeines!$E$20&gt;=1,IFERROR(IF(MATCH(K35,Hilfstabelle!$A$1:$A$71,0)&gt;=1,IF(MID(K35,LEN(K35)-4,1)="D",3,IF(MID(K35,LEN(K35)-4,1)="C",4,5))),""))</f>
        <v>0</v>
      </c>
      <c r="P35" s="16" t="str">
        <f>IFERROR(IF(AND(P34=0,IF(IFERROR(FIND("Finale",L35,1),FALSE)=1,FALSE)),0,IF(AND(K35&lt;&gt;"Pause",L35&lt;&gt;"Finale",M35&gt;1),CONCATENATE("00:",O35*N35*Allgemeines!$E$33),IF(AND(K35="Pause",L34=1,IFERROR(FIND("SE",L35,1),0)),Allgemeines!$E$36*N33,IF(IFERROR(FIND("Finale",L35,1),0)&gt;0,TIME(0,20,0)*N35,IF(AND(K35="Pause",P34&lt;&gt;0),Allgemeines!$E$30,TIME(0,0,0)))))),TIME(0,0,0))</f>
        <v>00:0</v>
      </c>
      <c r="Q35" s="12">
        <f t="shared" si="5"/>
        <v>0.49999999999999972</v>
      </c>
      <c r="R35" s="13">
        <f t="shared" ref="R35:R39" si="28">Q35+Y35</f>
        <v>0.49999999999999972</v>
      </c>
      <c r="S35" s="14" t="b">
        <f>IF(Allgemeines!$E$20&gt;=2,IF(T35="","",2))</f>
        <v>0</v>
      </c>
      <c r="T35" s="15" t="str">
        <f>T33</f>
        <v/>
      </c>
      <c r="U35" s="15">
        <v>2</v>
      </c>
      <c r="V35" s="15" t="b">
        <f>IF(Allgemeines!$E$20&gt;=2,IF(OR(ROUNDUP((V33/2)/6,0)*6=6,VLOOKUP(V33,Hilfstabelle!$F$2:$G$61,2,FALSE)&lt;=6,T35="Pause"),0,VLOOKUP(V33,Hilfstabelle!$F$2:$G$61,2,FALSE)))</f>
        <v>0</v>
      </c>
      <c r="W35" s="15" t="b">
        <f>IF(Allgemeines!$E$20&gt;=2,IF(T35="Pause","",IF(V35=0,,ROUNDUP(V35/IFERROR(IF(MATCH(T35,Hilfstabelle!$A$1:$A$71,0)&gt;=1,IF(MID(T35,LEN(T35)-4,1)="D",Allgemeines!$E$23,IF(MID(T35,LEN(T35)-4,1)="C",Allgemeines!$E$24,IF(MID(T35,LEN(T35)-4,1)="B",Allgemeines!$E$25,IF(MID(T35,LEN(T35)-4,1)="A",Allgemeines!$E$26,IF(MID(T35,LEN(T35)-4,1)="S",Allgemeines!$E$27,)))))),""),0))))</f>
        <v>0</v>
      </c>
      <c r="X35" s="15" t="b">
        <f>IF(Allgemeines!$E$20&gt;=2,IFERROR(IF(MATCH(T35,Hilfstabelle!$A$1:$A$71,0)&gt;=1,IF(MID(T35,LEN(T35)-4,1)="D",3,IF(MID(T35,LEN(T35)-4,1)="C",4,5))),""))</f>
        <v>0</v>
      </c>
      <c r="Y35" s="16" t="str">
        <f>IFERROR(IF(AND(Y34=0,IF(IFERROR(FIND("Finale",U35,1),FALSE)=1,FALSE)),0,IF(AND(T35&lt;&gt;"Pause",U35&lt;&gt;"Finale",V35&gt;1),CONCATENATE("00:",X35*W35*Allgemeines!$E$33),IF(AND(T35="Pause",U34=1,IFERROR(FIND("SE",U35,1),0)),Allgemeines!$E$36*W33,IF(IFERROR(FIND("Finale",U35,1),0)&gt;0,TIME(0,20,0)*W35,IF(AND(T35="Pause",Y34&lt;&gt;0),Allgemeines!$E$30,TIME(0,0,0)))))),TIME(0,0,0))</f>
        <v>00:0</v>
      </c>
      <c r="Z35" s="12">
        <f t="shared" si="6"/>
        <v>0.49999999999999972</v>
      </c>
      <c r="AA35" s="13">
        <f t="shared" ref="AA35:AA39" si="29">Z35+AH35</f>
        <v>0.49999999999999972</v>
      </c>
      <c r="AB35" s="14" t="b">
        <f>IF(Allgemeines!$E$20&gt;=3,IF(AC35="","",3))</f>
        <v>0</v>
      </c>
      <c r="AC35" s="15" t="str">
        <f>AC33</f>
        <v/>
      </c>
      <c r="AD35" s="15">
        <v>2</v>
      </c>
      <c r="AE35" s="15" t="b">
        <f>IF(Allgemeines!$E$20&gt;=3,IF(OR(ROUNDUP((AE33/2)/6,0)*6=6,VLOOKUP(AE33,Hilfstabelle!$F$2:$G$61,2,FALSE)&lt;=6,AC35="Pause"),0,VLOOKUP(AE33,Hilfstabelle!$F$2:$G$61,2,FALSE)))</f>
        <v>0</v>
      </c>
      <c r="AF35" s="15" t="b">
        <f>IF(Allgemeines!$E$20&gt;=3,IF(AC35="Pause","",IF(AE35=0,,ROUNDUP(AE35/IFERROR(IF(MATCH(AC35,Hilfstabelle!$A$1:$A$71,0)&gt;=1,IF(MID(AC35,LEN(AC35)-4,1)="D",Allgemeines!$E$23,IF(MID(AC35,LEN(AC35)-4,1)="C",Allgemeines!$E$24,IF(MID(AC35,LEN(AC35)-4,1)="B",Allgemeines!$E$25,IF(MID(AC35,LEN(AC35)-4,1)="A",Allgemeines!$E$26,IF(MID(AC35,LEN(AC35)-4,1)="S",Allgemeines!$E$27,)))))),""),0))))</f>
        <v>0</v>
      </c>
      <c r="AG35" s="15" t="b">
        <f>IF(Allgemeines!$E$20&gt;=3,IFERROR(IF(MATCH(AC35,Hilfstabelle!$A$1:$A$71,0)&gt;=1,IF(MID(AC35,LEN(AC35)-4,1)="D",3,IF(MID(AC35,LEN(AC35)-4,1)="C",4,5))),""))</f>
        <v>0</v>
      </c>
      <c r="AH35" s="16" t="str">
        <f>IFERROR(IF(AND(AH34=0,IF(IFERROR(FIND("Finale",AD35,1),FALSE)=1,FALSE)),0,IF(AND(AC35&lt;&gt;"Pause",AD35&lt;&gt;"Finale",AE35&gt;1),CONCATENATE("00:",AG35*AF35*Allgemeines!$E$33),IF(AND(AC35="Pause",AD34=1,IFERROR(FIND("SE",AD35,1),0)),Allgemeines!$E$36*AF33,IF(IFERROR(FIND("Finale",AD35,1),0)&gt;0,TIME(0,20,0)*AF35,IF(AND(AC35="Pause",AH34&lt;&gt;0),Allgemeines!$E$30,TIME(0,0,0)))))),TIME(0,0,0))</f>
        <v>00:0</v>
      </c>
    </row>
    <row r="36" spans="1:34" x14ac:dyDescent="0.25">
      <c r="A36" s="45"/>
      <c r="B36" s="43"/>
      <c r="C36" s="44"/>
      <c r="D36" s="31">
        <f t="shared" si="26"/>
        <v>8.3333333333333356E-2</v>
      </c>
      <c r="E36" s="10">
        <f t="shared" si="0"/>
        <v>6.9444444444444441E-3</v>
      </c>
      <c r="F36" s="32">
        <f t="shared" si="25"/>
        <v>9.0277777777777804E-2</v>
      </c>
      <c r="G36" s="40"/>
      <c r="H36" s="12">
        <f t="shared" si="11"/>
        <v>0.49999999999999972</v>
      </c>
      <c r="I36" s="13">
        <f t="shared" si="27"/>
        <v>0.5069444444444442</v>
      </c>
      <c r="J36" s="34"/>
      <c r="K36" s="15" t="s">
        <v>10</v>
      </c>
      <c r="L36" s="15"/>
      <c r="M36" s="15"/>
      <c r="N36" s="15" t="b">
        <f>IF(Allgemeines!$E$20&gt;=1,IF(K36="Pause","",IF(M36=0,,ROUNDUP(M36/IFERROR(IF(MATCH(K36,Hilfstabelle!$A$1:$A$71,0)&gt;=1,IF(MID(K36,LEN(K36)-4,1)="D",Allgemeines!$E$23,IF(MID(K36,LEN(K36)-4,1)="C",Allgemeines!$E$24,IF(MID(K36,LEN(K36)-4,1)="B",Allgemeines!$E$25,IF(MID(K36,LEN(K36)-4,1)="A",Allgemeines!$E$26,IF(MID(K36,LEN(K36)-4,1)="S",Allgemeines!$E$27,)))))),""),0))))</f>
        <v>0</v>
      </c>
      <c r="O36" s="15" t="b">
        <f>IF(Allgemeines!$E$20&gt;=1,IFERROR(IF(MATCH(K36,Hilfstabelle!$A$1:$A$71,0)&gt;=1,IF(MID(K36,LEN(K36)-4,1)="D",3,IF(MID(K36,LEN(K36)-4,1)="C",4,5))),""))</f>
        <v>0</v>
      </c>
      <c r="P36" s="16">
        <f>IFERROR(IF(AND(P35=0,IF(IFERROR(FIND("Finale",L36,1),FALSE)=1,FALSE)),0,IF(AND(K36&lt;&gt;"Pause",L36&lt;&gt;"Finale",M36&gt;1),CONCATENATE("00:",O36*N36*Allgemeines!$E$33),IF(AND(K36="Pause",L35=1,IFERROR(FIND("SE",L36,1),0)),Allgemeines!$E$36*N34,IF(IFERROR(FIND("Finale",L36,1),0)&gt;0,TIME(0,20,0)*N36,IF(AND(K36="Pause",P35&lt;&gt;0),Allgemeines!$E$30,TIME(0,0,0)))))),TIME(0,0,0))</f>
        <v>6.9444444444444441E-3</v>
      </c>
      <c r="Q36" s="12">
        <f t="shared" si="5"/>
        <v>0.49999999999999972</v>
      </c>
      <c r="R36" s="13">
        <f t="shared" si="28"/>
        <v>0.5069444444444442</v>
      </c>
      <c r="S36" s="14"/>
      <c r="T36" s="15" t="s">
        <v>10</v>
      </c>
      <c r="U36" s="15"/>
      <c r="V36" s="15"/>
      <c r="W36" s="15" t="b">
        <f>IF(Allgemeines!$E$20&gt;=2,IF(T36="Pause","",IF(V36=0,,ROUNDUP(V36/IFERROR(IF(MATCH(T36,Hilfstabelle!$A$1:$A$71,0)&gt;=1,IF(MID(T36,LEN(T36)-4,1)="D",Allgemeines!$E$23,IF(MID(T36,LEN(T36)-4,1)="C",Allgemeines!$E$24,IF(MID(T36,LEN(T36)-4,1)="B",Allgemeines!$E$25,IF(MID(T36,LEN(T36)-4,1)="A",Allgemeines!$E$26,IF(MID(T36,LEN(T36)-4,1)="S",Allgemeines!$E$27,)))))),""),0))))</f>
        <v>0</v>
      </c>
      <c r="X36" s="15" t="b">
        <f>IF(Allgemeines!$E$20&gt;=2,IFERROR(IF(MATCH(T36,Hilfstabelle!$A$1:$A$71,0)&gt;=1,IF(MID(T36,LEN(T36)-4,1)="D",3,IF(MID(T36,LEN(T36)-4,1)="C",4,5))),""))</f>
        <v>0</v>
      </c>
      <c r="Y36" s="16">
        <f>IFERROR(IF(AND(Y35=0,IF(IFERROR(FIND("Finale",U36,1),FALSE)=1,FALSE)),0,IF(AND(T36&lt;&gt;"Pause",U36&lt;&gt;"Finale",V36&gt;1),CONCATENATE("00:",X36*W36*Allgemeines!$E$33),IF(AND(T36="Pause",U35=1,IFERROR(FIND("SE",U36,1),0)),Allgemeines!$E$36*W34,IF(IFERROR(FIND("Finale",U36,1),0)&gt;0,TIME(0,20,0)*W36,IF(AND(T36="Pause",Y35&lt;&gt;0),Allgemeines!$E$30,TIME(0,0,0)))))),TIME(0,0,0))</f>
        <v>6.9444444444444441E-3</v>
      </c>
      <c r="Z36" s="12">
        <f t="shared" si="6"/>
        <v>0.49999999999999972</v>
      </c>
      <c r="AA36" s="13">
        <f t="shared" si="29"/>
        <v>0.5069444444444442</v>
      </c>
      <c r="AB36" s="14"/>
      <c r="AC36" s="15" t="s">
        <v>10</v>
      </c>
      <c r="AD36" s="15"/>
      <c r="AE36" s="15"/>
      <c r="AF36" s="15" t="b">
        <f>IF(Allgemeines!$E$20&gt;=3,IF(AC36="Pause","",IF(AE36=0,,ROUNDUP(AE36/IFERROR(IF(MATCH(AC36,Hilfstabelle!$A$1:$A$71,0)&gt;=1,IF(MID(AC36,LEN(AC36)-4,1)="D",Allgemeines!$E$23,IF(MID(AC36,LEN(AC36)-4,1)="C",Allgemeines!$E$24,IF(MID(AC36,LEN(AC36)-4,1)="B",Allgemeines!$E$25,IF(MID(AC36,LEN(AC36)-4,1)="A",Allgemeines!$E$26,IF(MID(AC36,LEN(AC36)-4,1)="S",Allgemeines!$E$27,)))))),""),0))))</f>
        <v>0</v>
      </c>
      <c r="AG36" s="15" t="b">
        <f>IF(Allgemeines!$E$20&gt;=3,IFERROR(IF(MATCH(AC36,Hilfstabelle!$A$1:$A$71,0)&gt;=1,IF(MID(AC36,LEN(AC36)-4,1)="D",3,IF(MID(AC36,LEN(AC36)-4,1)="C",4,5))),""))</f>
        <v>0</v>
      </c>
      <c r="AH36" s="16">
        <f>IFERROR(IF(AND(AH35=0,IF(IFERROR(FIND("Finale",AD36,1),FALSE)=1,FALSE)),0,IF(AND(AC36&lt;&gt;"Pause",AD36&lt;&gt;"Finale",AE36&gt;1),CONCATENATE("00:",AG36*AF36*Allgemeines!$E$33),IF(AND(AC36="Pause",AD35=1,IFERROR(FIND("SE",AD36,1),0)),Allgemeines!$E$36*AF34,IF(IFERROR(FIND("Finale",AD36,1),0)&gt;0,TIME(0,20,0)*AF36,IF(AND(AC36="Pause",AH35&lt;&gt;0),Allgemeines!$E$30,TIME(0,0,0)))))),TIME(0,0,0))</f>
        <v>6.9444444444444441E-3</v>
      </c>
    </row>
    <row r="37" spans="1:34" x14ac:dyDescent="0.25">
      <c r="A37" s="45"/>
      <c r="B37" s="43"/>
      <c r="C37" s="44"/>
      <c r="D37" s="31">
        <f t="shared" si="26"/>
        <v>9.0277777777777804E-2</v>
      </c>
      <c r="E37" s="10" t="str">
        <f t="shared" ref="E37:E68" si="30">IF(AND(P37&gt;=Y37,P37&gt;=AH37),P37,IF(AND(Y37&gt;=P37,Y37&gt;=AH37),Y37,IF(AND(AH37&gt;=P37,AH37&gt;=Y37),AH37,Y37)))</f>
        <v>00:0</v>
      </c>
      <c r="F37" s="32">
        <f t="shared" si="25"/>
        <v>9.0277777777777804E-2</v>
      </c>
      <c r="G37" s="40"/>
      <c r="H37" s="12">
        <f t="shared" si="11"/>
        <v>0.5069444444444442</v>
      </c>
      <c r="I37" s="13">
        <f t="shared" si="27"/>
        <v>0.5069444444444442</v>
      </c>
      <c r="J37" s="34" t="b">
        <f>IF(Allgemeines!$E$20&gt;=1,IF(K37="","",1))</f>
        <v>0</v>
      </c>
      <c r="K37" s="15" t="str">
        <f>K33</f>
        <v/>
      </c>
      <c r="L37" s="15">
        <v>3</v>
      </c>
      <c r="M37" s="15" t="b">
        <f>IF(Allgemeines!$E$20&gt;=1,IFERROR(IF(OR(ROUNDUP((M35/2)/6,0)*6=6,VLOOKUP(M35,Hilfstabelle!$F$2:$G$61,2,FALSE)&lt;6,K37="Pause"),0,VLOOKUP(M35,Hilfstabelle!$F$2:$G$61,2,FALSE)),0))</f>
        <v>0</v>
      </c>
      <c r="N37" s="15" t="b">
        <f>IF(Allgemeines!$E$20&gt;=1,IF(K37="Pause","",IF(M37=0,,ROUNDUP(M37/IFERROR(IF(MATCH(K37,Hilfstabelle!$A$1:$A$71,0)&gt;=1,IF(MID(K37,LEN(K37)-4,1)="D",Allgemeines!$E$23,IF(MID(K37,LEN(K37)-4,1)="C",Allgemeines!$E$24,IF(MID(K37,LEN(K37)-4,1)="B",Allgemeines!$E$25,IF(MID(K37,LEN(K37)-4,1)="A",Allgemeines!$E$26,IF(MID(K37,LEN(K37)-4,1)="S",Allgemeines!$E$27,)))))),""),0))))</f>
        <v>0</v>
      </c>
      <c r="O37" s="15" t="b">
        <f>IF(Allgemeines!$E$20&gt;=1,IFERROR(IF(MATCH(K37,Hilfstabelle!$A$1:$A$71,0)&gt;=1,IF(MID(K37,LEN(K37)-4,1)="D",3,IF(MID(K37,LEN(K37)-4,1)="C",4,5))),""))</f>
        <v>0</v>
      </c>
      <c r="P37" s="16" t="str">
        <f>IFERROR(IF(AND(P36=0,IF(IFERROR(FIND("Finale",L37,1),FALSE)=1,FALSE)),0,IF(AND(K37&lt;&gt;"Pause",L37&lt;&gt;"Finale",M37&gt;1),CONCATENATE("00:",O37*N37*Allgemeines!$E$33),IF(AND(K37="Pause",L36=1,IFERROR(FIND("SE",L37,1),0)),Allgemeines!$E$36*N35,IF(IFERROR(FIND("Finale",L37,1),0)&gt;0,TIME(0,20,0)*N37,IF(AND(K37="Pause",P36&lt;&gt;0),Allgemeines!$E$30,TIME(0,0,0)))))),TIME(0,0,0))</f>
        <v>00:0</v>
      </c>
      <c r="Q37" s="12">
        <f t="shared" si="5"/>
        <v>0.5069444444444442</v>
      </c>
      <c r="R37" s="13">
        <f t="shared" si="28"/>
        <v>0.5069444444444442</v>
      </c>
      <c r="S37" s="14" t="b">
        <f>IF(Allgemeines!$E$20&gt;=2,IF(T37="","",2))</f>
        <v>0</v>
      </c>
      <c r="T37" s="15" t="str">
        <f>T33</f>
        <v/>
      </c>
      <c r="U37" s="15">
        <v>3</v>
      </c>
      <c r="V37" s="15" t="str">
        <f>IF(Allgemeines!$E$20&gt;=2,IFERROR(IF(OR(ROUNDUP((V35/2)/6,0)*6=6,VLOOKUP(V35,Hilfstabelle!$F$2:$G$61,2,FALSE)&lt;6,T37="Pause"),0,VLOOKUP(V35,Hilfstabelle!$F$2:$G$61,2,FALSE)),0),"")</f>
        <v/>
      </c>
      <c r="W37" s="15" t="b">
        <f>IF(Allgemeines!$E$20&gt;=2,IF(T37="Pause","",IF(V37=0,,ROUNDUP(V37/IFERROR(IF(MATCH(T37,Hilfstabelle!$A$1:$A$71,0)&gt;=1,IF(MID(T37,LEN(T37)-4,1)="D",Allgemeines!$E$23,IF(MID(T37,LEN(T37)-4,1)="C",Allgemeines!$E$24,IF(MID(T37,LEN(T37)-4,1)="B",Allgemeines!$E$25,IF(MID(T37,LEN(T37)-4,1)="A",Allgemeines!$E$26,IF(MID(T37,LEN(T37)-4,1)="S",Allgemeines!$E$27,)))))),""),0))))</f>
        <v>0</v>
      </c>
      <c r="X37" s="15" t="b">
        <f>IF(Allgemeines!$E$20&gt;=2,IFERROR(IF(MATCH(T37,Hilfstabelle!$A$1:$A$71,0)&gt;=1,IF(MID(T37,LEN(T37)-4,1)="D",3,IF(MID(T37,LEN(T37)-4,1)="C",4,5))),""))</f>
        <v>0</v>
      </c>
      <c r="Y37" s="16" t="str">
        <f>IFERROR(IF(AND(Y36=0,IF(IFERROR(FIND("Finale",U37,1),FALSE)=1,FALSE)),0,IF(AND(T37&lt;&gt;"Pause",U37&lt;&gt;"Finale",V37&gt;1),CONCATENATE("00:",X37*W37*Allgemeines!$E$33),IF(AND(T37="Pause",U36=1,IFERROR(FIND("SE",U37,1),0)),Allgemeines!$E$36*W35,IF(IFERROR(FIND("Finale",U37,1),0)&gt;0,TIME(0,20,0)*W37,IF(AND(T37="Pause",Y36&lt;&gt;0),Allgemeines!$E$30,TIME(0,0,0)))))),TIME(0,0,0))</f>
        <v>00:0</v>
      </c>
      <c r="Z37" s="12">
        <f t="shared" si="6"/>
        <v>0.5069444444444442</v>
      </c>
      <c r="AA37" s="13">
        <f t="shared" si="29"/>
        <v>0.5069444444444442</v>
      </c>
      <c r="AB37" s="14" t="b">
        <f>IF(Allgemeines!$E$20&gt;=3,IF(AC37="","",3))</f>
        <v>0</v>
      </c>
      <c r="AC37" s="15" t="str">
        <f>AC33</f>
        <v/>
      </c>
      <c r="AD37" s="15">
        <v>3</v>
      </c>
      <c r="AE37" s="15" t="str">
        <f>IF(Allgemeines!$E$20&gt;=3,IFERROR(IF(OR(ROUNDUP((AE35/2)/6,0)*6=6,VLOOKUP(AE35,Hilfstabelle!$F$2:$G$61,2,FALSE)&lt;6,AC37="Pause"),0,VLOOKUP(AE35,Hilfstabelle!$F$2:$G$61,2,FALSE)),0),"")</f>
        <v/>
      </c>
      <c r="AF37" s="15" t="b">
        <f>IF(Allgemeines!$E$20&gt;=3,IF(AC37="Pause","",IF(AE37=0,,ROUNDUP(AE37/IFERROR(IF(MATCH(AC37,Hilfstabelle!$A$1:$A$71,0)&gt;=1,IF(MID(AC37,LEN(AC37)-4,1)="D",Allgemeines!$E$23,IF(MID(AC37,LEN(AC37)-4,1)="C",Allgemeines!$E$24,IF(MID(AC37,LEN(AC37)-4,1)="B",Allgemeines!$E$25,IF(MID(AC37,LEN(AC37)-4,1)="A",Allgemeines!$E$26,IF(MID(AC37,LEN(AC37)-4,1)="S",Allgemeines!$E$27,)))))),""),0))))</f>
        <v>0</v>
      </c>
      <c r="AG37" s="15" t="b">
        <f>IF(Allgemeines!$E$20&gt;=3,IFERROR(IF(MATCH(AC37,Hilfstabelle!$A$1:$A$71,0)&gt;=1,IF(MID(AC37,LEN(AC37)-4,1)="D",3,IF(MID(AC37,LEN(AC37)-4,1)="C",4,5))),""))</f>
        <v>0</v>
      </c>
      <c r="AH37" s="16" t="str">
        <f>IFERROR(IF(AND(AH36=0,IF(IFERROR(FIND("Finale",AD37,1),FALSE)=1,FALSE)),0,IF(AND(AC37&lt;&gt;"Pause",AD37&lt;&gt;"Finale",AE37&gt;1),CONCATENATE("00:",AG37*AF37*Allgemeines!$E$33),IF(AND(AC37="Pause",AD36=1,IFERROR(FIND("SE",AD37,1),0)),Allgemeines!$E$36*AF35,IF(IFERROR(FIND("Finale",AD37,1),0)&gt;0,TIME(0,20,0)*AF37,IF(AND(AC37="Pause",AH36&lt;&gt;0),Allgemeines!$E$30,TIME(0,0,0)))))),TIME(0,0,0))</f>
        <v>00:0</v>
      </c>
    </row>
    <row r="38" spans="1:34" x14ac:dyDescent="0.25">
      <c r="A38" s="45"/>
      <c r="B38" s="43"/>
      <c r="C38" s="44"/>
      <c r="D38" s="31">
        <f t="shared" si="26"/>
        <v>9.0277777777777804E-2</v>
      </c>
      <c r="E38" s="10">
        <f t="shared" si="30"/>
        <v>6.9444444444444441E-3</v>
      </c>
      <c r="F38" s="32">
        <f t="shared" si="25"/>
        <v>9.7222222222222252E-2</v>
      </c>
      <c r="G38" s="40"/>
      <c r="H38" s="12">
        <f t="shared" si="11"/>
        <v>0.5069444444444442</v>
      </c>
      <c r="I38" s="13">
        <f t="shared" si="27"/>
        <v>0.51388888888888862</v>
      </c>
      <c r="J38" s="34"/>
      <c r="K38" s="15" t="s">
        <v>10</v>
      </c>
      <c r="L38" s="15"/>
      <c r="M38" s="15"/>
      <c r="N38" s="15" t="b">
        <f>IF(Allgemeines!$E$20&gt;=1,IF(K38="Pause","",IF(M38=0,,ROUNDUP(M38/IFERROR(IF(MATCH(K38,Hilfstabelle!$A$1:$A$71,0)&gt;=1,IF(MID(K38,LEN(K38)-4,1)="D",Allgemeines!$E$23,IF(MID(K38,LEN(K38)-4,1)="C",Allgemeines!$E$24,IF(MID(K38,LEN(K38)-4,1)="B",Allgemeines!$E$25,IF(MID(K38,LEN(K38)-4,1)="A",Allgemeines!$E$26,IF(MID(K38,LEN(K38)-4,1)="S",Allgemeines!$E$27,)))))),""),0))))</f>
        <v>0</v>
      </c>
      <c r="O38" s="15" t="b">
        <f>IF(Allgemeines!$E$20&gt;=1,IFERROR(IF(MATCH(K38,Hilfstabelle!$A$1:$A$71,0)&gt;=1,IF(MID(K38,LEN(K38)-4,1)="D",3,IF(MID(K38,LEN(K38)-4,1)="C",4,5))),""))</f>
        <v>0</v>
      </c>
      <c r="P38" s="16">
        <f>IFERROR(IF(AND(P37=0,IF(IFERROR(FIND("Finale",L38,1),FALSE)=1,FALSE)),0,IF(AND(K38&lt;&gt;"Pause",L38&lt;&gt;"Finale",M38&gt;1),CONCATENATE("00:",O38*N38*Allgemeines!$E$33),IF(AND(K38="Pause",L37=1,IFERROR(FIND("SE",L38,1),0)),Allgemeines!$E$36*N36,IF(IFERROR(FIND("Finale",L38,1),0)&gt;0,TIME(0,20,0)*N38,IF(AND(K38="Pause",P37&lt;&gt;0),Allgemeines!$E$30,TIME(0,0,0)))))),TIME(0,0,0))</f>
        <v>6.9444444444444441E-3</v>
      </c>
      <c r="Q38" s="12">
        <f t="shared" si="5"/>
        <v>0.5069444444444442</v>
      </c>
      <c r="R38" s="13">
        <f t="shared" si="28"/>
        <v>0.51388888888888862</v>
      </c>
      <c r="S38" s="14"/>
      <c r="T38" s="15" t="s">
        <v>10</v>
      </c>
      <c r="U38" s="15"/>
      <c r="V38" s="15"/>
      <c r="W38" s="15" t="b">
        <f>IF(Allgemeines!$E$20&gt;=2,IF(T38="Pause","",IF(V38=0,,ROUNDUP(V38/IFERROR(IF(MATCH(T38,Hilfstabelle!$A$1:$A$71,0)&gt;=1,IF(MID(T38,LEN(T38)-4,1)="D",Allgemeines!$E$23,IF(MID(T38,LEN(T38)-4,1)="C",Allgemeines!$E$24,IF(MID(T38,LEN(T38)-4,1)="B",Allgemeines!$E$25,IF(MID(T38,LEN(T38)-4,1)="A",Allgemeines!$E$26,IF(MID(T38,LEN(T38)-4,1)="S",Allgemeines!$E$27,)))))),""),0))))</f>
        <v>0</v>
      </c>
      <c r="X38" s="15" t="b">
        <f>IF(Allgemeines!$E$20&gt;=2,IFERROR(IF(MATCH(T38,Hilfstabelle!$A$1:$A$71,0)&gt;=1,IF(MID(T38,LEN(T38)-4,1)="D",3,IF(MID(T38,LEN(T38)-4,1)="C",4,5))),""))</f>
        <v>0</v>
      </c>
      <c r="Y38" s="16">
        <f>IFERROR(IF(AND(Y37=0,IF(IFERROR(FIND("Finale",U38,1),FALSE)=1,FALSE)),0,IF(AND(T38&lt;&gt;"Pause",U38&lt;&gt;"Finale",V38&gt;1),CONCATENATE("00:",X38*W38*Allgemeines!$E$33),IF(AND(T38="Pause",U37=1,IFERROR(FIND("SE",U38,1),0)),Allgemeines!$E$36*W36,IF(IFERROR(FIND("Finale",U38,1),0)&gt;0,TIME(0,20,0)*W38,IF(AND(T38="Pause",Y37&lt;&gt;0),Allgemeines!$E$30,TIME(0,0,0)))))),TIME(0,0,0))</f>
        <v>6.9444444444444441E-3</v>
      </c>
      <c r="Z38" s="12">
        <f t="shared" si="6"/>
        <v>0.5069444444444442</v>
      </c>
      <c r="AA38" s="13">
        <f t="shared" si="29"/>
        <v>0.51388888888888862</v>
      </c>
      <c r="AB38" s="14"/>
      <c r="AC38" s="15" t="s">
        <v>10</v>
      </c>
      <c r="AD38" s="15"/>
      <c r="AE38" s="15"/>
      <c r="AF38" s="15" t="b">
        <f>IF(Allgemeines!$E$20&gt;=3,IF(AC38="Pause","",IF(AE38=0,,ROUNDUP(AE38/IFERROR(IF(MATCH(AC38,Hilfstabelle!$A$1:$A$71,0)&gt;=1,IF(MID(AC38,LEN(AC38)-4,1)="D",Allgemeines!$E$23,IF(MID(AC38,LEN(AC38)-4,1)="C",Allgemeines!$E$24,IF(MID(AC38,LEN(AC38)-4,1)="B",Allgemeines!$E$25,IF(MID(AC38,LEN(AC38)-4,1)="A",Allgemeines!$E$26,IF(MID(AC38,LEN(AC38)-4,1)="S",Allgemeines!$E$27,)))))),""),0))))</f>
        <v>0</v>
      </c>
      <c r="AG38" s="15" t="b">
        <f>IF(Allgemeines!$E$20&gt;=3,IFERROR(IF(MATCH(AC38,Hilfstabelle!$A$1:$A$71,0)&gt;=1,IF(MID(AC38,LEN(AC38)-4,1)="D",3,IF(MID(AC38,LEN(AC38)-4,1)="C",4,5))),""))</f>
        <v>0</v>
      </c>
      <c r="AH38" s="16">
        <f>IFERROR(IF(AND(AH37=0,IF(IFERROR(FIND("Finale",AD38,1),FALSE)=1,FALSE)),0,IF(AND(AC38&lt;&gt;"Pause",AD38&lt;&gt;"Finale",AE38&gt;1),CONCATENATE("00:",AG38*AF38*Allgemeines!$E$33),IF(AND(AC38="Pause",AD37=1,IFERROR(FIND("SE",AD38,1),0)),Allgemeines!$E$36*AF36,IF(IFERROR(FIND("Finale",AD38,1),0)&gt;0,TIME(0,20,0)*AF38,IF(AND(AC38="Pause",AH37&lt;&gt;0),Allgemeines!$E$30,TIME(0,0,0)))))),TIME(0,0,0))</f>
        <v>6.9444444444444441E-3</v>
      </c>
    </row>
    <row r="39" spans="1:34" x14ac:dyDescent="0.25">
      <c r="A39" s="48"/>
      <c r="B39" s="49"/>
      <c r="C39" s="50">
        <f>A33+B33</f>
        <v>0</v>
      </c>
      <c r="D39" s="19">
        <f t="shared" si="26"/>
        <v>9.7222222222222252E-2</v>
      </c>
      <c r="E39" s="17" t="str">
        <f t="shared" si="30"/>
        <v>00:0</v>
      </c>
      <c r="F39" s="37">
        <f>D39+E39</f>
        <v>9.7222222222222252E-2</v>
      </c>
      <c r="G39" s="41">
        <f>F39-D33</f>
        <v>2.0833333333333343E-2</v>
      </c>
      <c r="H39" s="19">
        <f t="shared" si="11"/>
        <v>0.51388888888888862</v>
      </c>
      <c r="I39" s="33">
        <f t="shared" si="27"/>
        <v>0.51388888888888862</v>
      </c>
      <c r="J39" s="35" t="str">
        <f>IF(K39="","",1)</f>
        <v/>
      </c>
      <c r="K39" s="21" t="str">
        <f>K33</f>
        <v/>
      </c>
      <c r="L39" s="21" t="str">
        <f>IF(Allgemeines!$E$20&gt;=1,IF(Allgemeines!$E$39="x","Finale + SE","Finale"),"")</f>
        <v/>
      </c>
      <c r="M39" s="21" t="b">
        <f>IF(Allgemeines!$E$20&gt;=1,IF(M33&gt;6,6,M33))</f>
        <v>0</v>
      </c>
      <c r="N39" s="21" t="b">
        <f>IF(Allgemeines!$E$20&gt;=1,IF(K39="Pause","",IF(M39=0,,ROUNDUP(M39/IFERROR(IF(MATCH(K39,Hilfstabelle!$A$1:$A$71,0)&gt;=1,IF(MID(K39,LEN(K39)-4,1)="D",Allgemeines!$E$23,IF(MID(K39,LEN(K39)-4,1)="C",Allgemeines!$E$24,IF(MID(K39,LEN(K39)-4,1)="B",Allgemeines!$E$25,IF(MID(K39,LEN(K39)-4,1)="A",Allgemeines!$E$26,IF(MID(K39,LEN(K39)-4,1)="S",Allgemeines!$E$27,)))))),""),0))))</f>
        <v>0</v>
      </c>
      <c r="O39" s="21" t="b">
        <f>IF(Allgemeines!$E$20&gt;=1,IFERROR(IF(MATCH(K39,Hilfstabelle!$A$1:$A$71,0)&gt;=1,IF(MID(K39,LEN(K39)-4,1)="D",3,IF(MID(K39,LEN(K39)-4,1)="C",4,5))),""))</f>
        <v>0</v>
      </c>
      <c r="P39" s="22" t="str">
        <f>IFERROR(IF(AND(P38=0,IF(IFERROR(FIND("Finale",L39,1),FALSE)=1,FALSE)),0,IF(AND(K39&lt;&gt;"Pause",L39&lt;&gt;"Finale",M39&gt;1),CONCATENATE("00:",O39*N39*Allgemeines!$E$33),IF(AND(K39="Pause",L38=1,IFERROR(FIND("SE",L39,1),0)),Allgemeines!$E$36*N37,IF(IFERROR(FIND("Finale",L39,1),0)&gt;0,TIME(0,20,0)*N39,IF(AND(K39="Pause",P38&lt;&gt;0),Allgemeines!$E$30,TIME(0,0,0)))))),TIME(0,0,0))</f>
        <v>00:0</v>
      </c>
      <c r="Q39" s="19">
        <f t="shared" si="5"/>
        <v>0.51388888888888862</v>
      </c>
      <c r="R39" s="18">
        <f t="shared" si="28"/>
        <v>0.51388888888888862</v>
      </c>
      <c r="S39" s="20" t="str">
        <f>IF(T39="","",2)</f>
        <v/>
      </c>
      <c r="T39" s="21" t="str">
        <f>T33</f>
        <v/>
      </c>
      <c r="U39" s="21" t="str">
        <f>IF(Allgemeines!$E$20&gt;=2,IF(Allgemeines!$E$39="x","Finale + SE","Finale"),"")</f>
        <v/>
      </c>
      <c r="V39" s="21" t="str">
        <f>IF(Allgemeines!$E$20&gt;=2,IF(V33&gt;6,6,V33),"")</f>
        <v/>
      </c>
      <c r="W39" s="21" t="b">
        <f>IF(Allgemeines!$E$20&gt;=2,IF(T39="Pause","",IF(V39=0,,ROUNDUP(V39/IFERROR(IF(MATCH(T39,Hilfstabelle!$A$1:$A$71,0)&gt;=1,IF(MID(T39,LEN(T39)-4,1)="D",Allgemeines!$E$23,IF(MID(T39,LEN(T39)-4,1)="C",Allgemeines!$E$24,IF(MID(T39,LEN(T39)-4,1)="B",Allgemeines!$E$25,IF(MID(T39,LEN(T39)-4,1)="A",Allgemeines!$E$26,IF(MID(T39,LEN(T39)-4,1)="S",Allgemeines!$E$27,)))))),""),0))))</f>
        <v>0</v>
      </c>
      <c r="X39" s="21" t="b">
        <f>IF(Allgemeines!$E$20&gt;=2,IFERROR(IF(MATCH(T39,Hilfstabelle!$A$1:$A$71,0)&gt;=1,IF(MID(T39,LEN(T39)-4,1)="D",3,IF(MID(T39,LEN(T39)-4,1)="C",4,5))),""))</f>
        <v>0</v>
      </c>
      <c r="Y39" s="22" t="str">
        <f>IFERROR(IF(AND(Y38=0,IF(IFERROR(FIND("Finale",U39,1),FALSE)=1,FALSE)),0,IF(AND(T39&lt;&gt;"Pause",U39&lt;&gt;"Finale",V39&gt;1),CONCATENATE("00:",X39*W39*Allgemeines!$E$33),IF(AND(T39="Pause",U38=1,IFERROR(FIND("SE",U39,1),0)),Allgemeines!$E$36*W37,IF(IFERROR(FIND("Finale",U39,1),0)&gt;0,TIME(0,20,0)*W39,IF(AND(T39="Pause",Y38&lt;&gt;0),Allgemeines!$E$30,TIME(0,0,0)))))),TIME(0,0,0))</f>
        <v>00:0</v>
      </c>
      <c r="Z39" s="19">
        <f t="shared" si="6"/>
        <v>0.51388888888888862</v>
      </c>
      <c r="AA39" s="18">
        <f t="shared" si="29"/>
        <v>0.51388888888888862</v>
      </c>
      <c r="AB39" s="20" t="str">
        <f>IF(AC39="","",3)</f>
        <v/>
      </c>
      <c r="AC39" s="21" t="str">
        <f>AC33</f>
        <v/>
      </c>
      <c r="AD39" s="21" t="str">
        <f>IF(Allgemeines!$E$20&gt;=3,IF(Allgemeines!$E$39="x","Finale + SE","Finale"),"")</f>
        <v/>
      </c>
      <c r="AE39" s="21" t="str">
        <f>IF(Allgemeines!$E$20&gt;=3,IF(AE33&gt;6,6,AE33),"")</f>
        <v/>
      </c>
      <c r="AF39" s="21" t="b">
        <f>IF(Allgemeines!$E$20&gt;=3,IF(AC39="Pause","",IF(AE39=0,,ROUNDUP(AE39/IFERROR(IF(MATCH(AC39,Hilfstabelle!$A$1:$A$71,0)&gt;=1,IF(MID(AC39,LEN(AC39)-4,1)="D",Allgemeines!$E$23,IF(MID(AC39,LEN(AC39)-4,1)="C",Allgemeines!$E$24,IF(MID(AC39,LEN(AC39)-4,1)="B",Allgemeines!$E$25,IF(MID(AC39,LEN(AC39)-4,1)="A",Allgemeines!$E$26,IF(MID(AC39,LEN(AC39)-4,1)="S",Allgemeines!$E$27,)))))),""),0))))</f>
        <v>0</v>
      </c>
      <c r="AG39" s="21" t="b">
        <f>IF(Allgemeines!$E$20&gt;=3,IFERROR(IF(MATCH(AC39,Hilfstabelle!$A$1:$A$71,0)&gt;=1,IF(MID(AC39,LEN(AC39)-4,1)="D",3,IF(MID(AC39,LEN(AC39)-4,1)="C",4,5))),""))</f>
        <v>0</v>
      </c>
      <c r="AH39" s="22" t="str">
        <f>IFERROR(IF(AND(AH38=0,IF(IFERROR(FIND("Finale",AD39,1),FALSE)=1,FALSE)),0,IF(AND(AC39&lt;&gt;"Pause",AD39&lt;&gt;"Finale",AE39&gt;1),CONCATENATE("00:",AG39*AF39*Allgemeines!$E$33),IF(AND(AC39="Pause",AD38=1,IFERROR(FIND("SE",AD39,1),0)),Allgemeines!$E$36*AF37,IF(IFERROR(FIND("Finale",AD39,1),0)&gt;0,TIME(0,20,0)*AF39,IF(AND(AC39="Pause",AH38&lt;&gt;0),Allgemeines!$E$30,TIME(0,0,0)))))),TIME(0,0,0))</f>
        <v>00:0</v>
      </c>
    </row>
    <row r="40" spans="1:34" x14ac:dyDescent="0.25">
      <c r="A40" s="42">
        <f>Allgemeines!$B$10</f>
        <v>0</v>
      </c>
      <c r="B40" s="43">
        <f>Allgemeines!$C$10-Allgemeines!$B$10</f>
        <v>0</v>
      </c>
      <c r="C40" s="44"/>
      <c r="D40" s="36">
        <f>F39</f>
        <v>9.7222222222222252E-2</v>
      </c>
      <c r="E40" s="11" t="str">
        <f t="shared" si="30"/>
        <v>00:0</v>
      </c>
      <c r="F40" s="30">
        <f>D40+E40</f>
        <v>9.7222222222222252E-2</v>
      </c>
      <c r="G40" s="39"/>
      <c r="H40" s="12">
        <f t="shared" si="11"/>
        <v>0.51388888888888862</v>
      </c>
      <c r="I40" s="13">
        <f>H40+P40</f>
        <v>0.51388888888888862</v>
      </c>
      <c r="J40" s="34" t="str">
        <f>IF(Allgemeines!$E$20&gt;=1,IF(K40="","",1),"")</f>
        <v/>
      </c>
      <c r="K40" s="15" t="str">
        <f>IF(Allgemeines!$E$20&gt;=1,Allgemeines!$D$10,"")</f>
        <v/>
      </c>
      <c r="L40" s="15">
        <v>1</v>
      </c>
      <c r="M40" s="15" t="b">
        <f>IF(Allgemeines!$E$20&gt;=1,Allgemeines!$E$10)</f>
        <v>0</v>
      </c>
      <c r="N40" s="15" t="b">
        <f>IF(Allgemeines!$E$20&gt;=1,IF(K40="Pause","",IF(M40=0,,ROUNDUP(M40/IFERROR(IF(MATCH(K40,Hilfstabelle!$A$1:$A$71,0)&gt;=1,IF(MID(K40,LEN(K40)-4,1)="D",Allgemeines!$E$23,IF(MID(K40,LEN(K40)-4,1)="C",Allgemeines!$E$24,IF(MID(K40,LEN(K40)-4,1)="B",Allgemeines!$E$25,IF(MID(K40,LEN(K40)-4,1)="A",Allgemeines!$E$26,IF(MID(K40,LEN(K40)-4,1)="S",Allgemeines!$E$27,)))))),""),0))))</f>
        <v>0</v>
      </c>
      <c r="O40" s="15" t="b">
        <f>IF(Allgemeines!$E$20&gt;=1,IFERROR(IF(MATCH(K40,Hilfstabelle!$A$1:$A$71,0)&gt;=1,IF(MID(K40,LEN(K40)-4,1)="D",3,IF(MID(K40,LEN(K40)-4,1)="C",4,5))),""))</f>
        <v>0</v>
      </c>
      <c r="P40" s="16" t="str">
        <f>IFERROR(IF(AND(P39=0,IF(IFERROR(FIND("Finale",L40,1),FALSE)=1,FALSE)),0,IF(AND(K40&lt;&gt;"Pause",L40&lt;&gt;"Finale",M40&gt;1),CONCATENATE("00:",O40*N40*Allgemeines!$E$33),IF(AND(K40="Pause",L39=1,IFERROR(FIND("SE",L40,1),0)),Allgemeines!$E$36*N38,IF(IFERROR(FIND("Finale",L40,1),0)&gt;0,TIME(0,20,0)*N40,IF(AND(K40="Pause",P39&lt;&gt;0),Allgemeines!$E$30,TIME(0,0,0)))))),TIME(0,0,0))</f>
        <v>00:0</v>
      </c>
      <c r="Q40" s="12">
        <f t="shared" si="5"/>
        <v>0.51388888888888862</v>
      </c>
      <c r="R40" s="13">
        <f>Q40+Y40</f>
        <v>0.51388888888888862</v>
      </c>
      <c r="S40" s="14" t="b">
        <f>IF(Allgemeines!$E$20&gt;=2,IF(T40="","",2))</f>
        <v>0</v>
      </c>
      <c r="T40" s="15" t="str">
        <f>IF(Allgemeines!$E$20&gt;=2,Allgemeines!$F$10,"")</f>
        <v/>
      </c>
      <c r="U40" s="15">
        <v>1</v>
      </c>
      <c r="V40" s="15" t="b">
        <f>IF(Allgemeines!$E$20&gt;=2,Allgemeines!$G$10)</f>
        <v>0</v>
      </c>
      <c r="W40" s="15" t="b">
        <f>IF(Allgemeines!$E$20&gt;=2,IF(T40="Pause","",IF(V40=0,,ROUNDUP(V40/IFERROR(IF(MATCH(T40,Hilfstabelle!$A$1:$A$71,0)&gt;=1,IF(MID(T40,LEN(T40)-4,1)="D",Allgemeines!$E$23,IF(MID(T40,LEN(T40)-4,1)="C",Allgemeines!$E$24,IF(MID(T40,LEN(T40)-4,1)="B",Allgemeines!$E$25,IF(MID(T40,LEN(T40)-4,1)="A",Allgemeines!$E$26,IF(MID(T40,LEN(T40)-4,1)="S",Allgemeines!$E$27,)))))),""),0))))</f>
        <v>0</v>
      </c>
      <c r="X40" s="15" t="b">
        <f>IF(Allgemeines!$E$20&gt;=2,IFERROR(IF(MATCH(T40,Hilfstabelle!$A$1:$A$71,0)&gt;=1,IF(MID(T40,LEN(T40)-4,1)="D",3,IF(MID(T40,LEN(T40)-4,1)="C",4,5))),""))</f>
        <v>0</v>
      </c>
      <c r="Y40" s="16" t="str">
        <f>IFERROR(IF(AND(Y39=0,IF(IFERROR(FIND("Finale",U40,1),FALSE)=1,FALSE)),0,IF(AND(T40&lt;&gt;"Pause",U40&lt;&gt;"Finale",V40&gt;1),CONCATENATE("00:",X40*W40*Allgemeines!$E$33),IF(AND(T40="Pause",U39=1,IFERROR(FIND("SE",U40,1),0)),Allgemeines!$E$36*W38,IF(IFERROR(FIND("Finale",U40,1),0)&gt;0,TIME(0,20,0)*W40,IF(AND(T40="Pause",Y39&lt;&gt;0),Allgemeines!$E$30,TIME(0,0,0)))))),TIME(0,0,0))</f>
        <v>00:0</v>
      </c>
      <c r="Z40" s="12">
        <f t="shared" si="6"/>
        <v>0.51388888888888862</v>
      </c>
      <c r="AA40" s="13">
        <f>Z40+AH40</f>
        <v>0.51388888888888862</v>
      </c>
      <c r="AB40" s="14" t="b">
        <f>IF(Allgemeines!$E$20&gt;=3,IF(AC40="","",3))</f>
        <v>0</v>
      </c>
      <c r="AC40" s="15" t="str">
        <f>IF(Allgemeines!$E$20&gt;=3,Allgemeines!$H$10,"")</f>
        <v/>
      </c>
      <c r="AD40" s="15">
        <v>1</v>
      </c>
      <c r="AE40" s="15" t="b">
        <f>IF(Allgemeines!$E$20&gt;=3,Allgemeines!$I$10)</f>
        <v>0</v>
      </c>
      <c r="AF40" s="15" t="b">
        <f>IF(Allgemeines!$E$20&gt;=3,IF(AC40="Pause","",IF(AE40=0,,ROUNDUP(AE40/IFERROR(IF(MATCH(AC40,Hilfstabelle!$A$1:$A$71,0)&gt;=1,IF(MID(AC40,LEN(AC40)-4,1)="D",Allgemeines!$E$23,IF(MID(AC40,LEN(AC40)-4,1)="C",Allgemeines!$E$24,IF(MID(AC40,LEN(AC40)-4,1)="B",Allgemeines!$E$25,IF(MID(AC40,LEN(AC40)-4,1)="A",Allgemeines!$E$26,IF(MID(AC40,LEN(AC40)-4,1)="S",Allgemeines!$E$27,)))))),""),0))))</f>
        <v>0</v>
      </c>
      <c r="AG40" s="15" t="b">
        <f>IF(Allgemeines!$E$20&gt;=3,IFERROR(IF(MATCH(AC40,Hilfstabelle!$A$1:$A$71,0)&gt;=1,IF(MID(AC40,LEN(AC40)-4,1)="D",3,IF(MID(AC40,LEN(AC40)-4,1)="C",4,5))),""))</f>
        <v>0</v>
      </c>
      <c r="AH40" s="16" t="str">
        <f>IFERROR(IF(AND(AH39=0,IF(IFERROR(FIND("Finale",AD40,1),FALSE)=1,FALSE)),0,IF(AND(AC40&lt;&gt;"Pause",AD40&lt;&gt;"Finale",AE40&gt;1),CONCATENATE("00:",AG40*AF40*Allgemeines!$E$33),IF(AND(AC40="Pause",AD39=1,IFERROR(FIND("SE",AD40,1),0)),Allgemeines!$E$36*AF38,IF(IFERROR(FIND("Finale",AD40,1),0)&gt;0,TIME(0,20,0)*AF40,IF(AND(AC40="Pause",AH39&lt;&gt;0),Allgemeines!$E$30,TIME(0,0,0)))))),TIME(0,0,0))</f>
        <v>00:0</v>
      </c>
    </row>
    <row r="41" spans="1:34" x14ac:dyDescent="0.25">
      <c r="A41" s="45"/>
      <c r="B41" s="46"/>
      <c r="C41" s="44"/>
      <c r="D41" s="12">
        <f t="shared" ref="D41:D46" si="31">F40</f>
        <v>9.7222222222222252E-2</v>
      </c>
      <c r="E41" s="10">
        <f t="shared" si="30"/>
        <v>6.9444444444444441E-3</v>
      </c>
      <c r="F41" s="32">
        <f t="shared" ref="F41:F45" si="32">D41+E41</f>
        <v>0.1041666666666667</v>
      </c>
      <c r="G41" s="40"/>
      <c r="H41" s="12">
        <f t="shared" si="11"/>
        <v>0.51388888888888862</v>
      </c>
      <c r="I41" s="13">
        <f>H41+P41</f>
        <v>0.52083333333333304</v>
      </c>
      <c r="J41" s="34"/>
      <c r="K41" s="15" t="s">
        <v>10</v>
      </c>
      <c r="L41" s="15" t="b">
        <f>IF(Allgemeines!$E$20&gt;=1,IF(Allgemeines!$E$40="x",CONCATENATE("SE ",K33),""))</f>
        <v>0</v>
      </c>
      <c r="M41" s="15"/>
      <c r="N41" s="15" t="b">
        <f>IF(Allgemeines!$E$20&gt;=1,IF(K41="Pause","",IF(M41=0,,ROUNDUP(M41/IFERROR(IF(MATCH(K41,Hilfstabelle!$A$1:$A$71,0)&gt;=1,IF(MID(K41,LEN(K41)-4,1)="D",Allgemeines!$E$23,IF(MID(K41,LEN(K41)-4,1)="C",Allgemeines!$E$24,IF(MID(K41,LEN(K41)-4,1)="B",Allgemeines!$E$25,IF(MID(K41,LEN(K41)-4,1)="A",Allgemeines!$E$26,IF(MID(K41,LEN(K41)-4,1)="S",Allgemeines!$E$27,)))))),""),0))))</f>
        <v>0</v>
      </c>
      <c r="O41" s="15" t="b">
        <f>IF(Allgemeines!$E$20&gt;=1,IFERROR(IF(MATCH(K41,Hilfstabelle!$A$1:$A$71,0)&gt;=1,IF(MID(K41,LEN(K41)-4,1)="D",3,IF(MID(K41,LEN(K41)-4,1)="C",4,5))),""))</f>
        <v>0</v>
      </c>
      <c r="P41" s="16">
        <f>IFERROR(IF(AND(P40=0,IF(IFERROR(FIND("Finale",L41,1),FALSE)=1,FALSE)),0,IF(AND(K41&lt;&gt;"Pause",L41&lt;&gt;"Finale",M41&gt;1),CONCATENATE("00:",O41*N41*Allgemeines!$E$33),IF(AND(K41="Pause",L40=1,IFERROR(FIND("SE",L41,1),0)),Allgemeines!$E$36*N39,IF(IFERROR(FIND("Finale",L41,1),0)&gt;0,TIME(0,20,0)*N41,IF(AND(K41="Pause",P40&lt;&gt;0),Allgemeines!$E$30,TIME(0,0,0)))))),TIME(0,0,0))</f>
        <v>6.9444444444444441E-3</v>
      </c>
      <c r="Q41" s="12">
        <f t="shared" si="5"/>
        <v>0.51388888888888862</v>
      </c>
      <c r="R41" s="13">
        <f>Q41+Y41</f>
        <v>0.52083333333333304</v>
      </c>
      <c r="S41" s="14"/>
      <c r="T41" s="15" t="s">
        <v>10</v>
      </c>
      <c r="U41" s="15" t="b">
        <f>IF(Allgemeines!$E$20&gt;=2,IF(Allgemeines!$E$40="x",CONCATENATE("SE ",T33),""))</f>
        <v>0</v>
      </c>
      <c r="V41" s="15"/>
      <c r="W41" s="15" t="b">
        <f>IF(Allgemeines!$E$20&gt;=2,IF(T41="Pause","",IF(V41=0,,ROUNDUP(V41/IFERROR(IF(MATCH(T41,Hilfstabelle!$A$1:$A$71,0)&gt;=1,IF(MID(T41,LEN(T41)-4,1)="D",Allgemeines!$E$23,IF(MID(T41,LEN(T41)-4,1)="C",Allgemeines!$E$24,IF(MID(T41,LEN(T41)-4,1)="B",Allgemeines!$E$25,IF(MID(T41,LEN(T41)-4,1)="A",Allgemeines!$E$26,IF(MID(T41,LEN(T41)-4,1)="S",Allgemeines!$E$27,)))))),""),0))))</f>
        <v>0</v>
      </c>
      <c r="X41" s="15" t="b">
        <f>IF(Allgemeines!$E$20&gt;=2,IFERROR(IF(MATCH(T41,Hilfstabelle!$A$1:$A$71,0)&gt;=1,IF(MID(T41,LEN(T41)-4,1)="D",3,IF(MID(T41,LEN(T41)-4,1)="C",4,5))),""))</f>
        <v>0</v>
      </c>
      <c r="Y41" s="16">
        <f>IFERROR(IF(AND(Y40=0,IF(IFERROR(FIND("Finale",U41,1),FALSE)=1,FALSE)),0,IF(AND(T41&lt;&gt;"Pause",U41&lt;&gt;"Finale",V41&gt;1),CONCATENATE("00:",X41*W41*Allgemeines!$E$33),IF(AND(T41="Pause",U40=1,IFERROR(FIND("SE",U41,1),0)),Allgemeines!$E$36*W39,IF(IFERROR(FIND("Finale",U41,1),0)&gt;0,TIME(0,20,0)*W41,IF(AND(T41="Pause",Y40&lt;&gt;0),Allgemeines!$E$30,TIME(0,0,0)))))),TIME(0,0,0))</f>
        <v>6.9444444444444441E-3</v>
      </c>
      <c r="Z41" s="12">
        <f t="shared" si="6"/>
        <v>0.51388888888888862</v>
      </c>
      <c r="AA41" s="13">
        <f>Z41+AH41</f>
        <v>0.52083333333333304</v>
      </c>
      <c r="AB41" s="14"/>
      <c r="AC41" s="15" t="s">
        <v>10</v>
      </c>
      <c r="AD41" s="15" t="b">
        <f>IF(Allgemeines!$E$20&gt;=3,IF(Allgemeines!$E$40="x",CONCATENATE("SE ",AC33),""))</f>
        <v>0</v>
      </c>
      <c r="AE41" s="15"/>
      <c r="AF41" s="15" t="b">
        <f>IF(Allgemeines!$E$20&gt;=3,IF(AC41="Pause","",IF(AE41=0,,ROUNDUP(AE41/IFERROR(IF(MATCH(AC41,Hilfstabelle!$A$1:$A$71,0)&gt;=1,IF(MID(AC41,LEN(AC41)-4,1)="D",Allgemeines!$E$23,IF(MID(AC41,LEN(AC41)-4,1)="C",Allgemeines!$E$24,IF(MID(AC41,LEN(AC41)-4,1)="B",Allgemeines!$E$25,IF(MID(AC41,LEN(AC41)-4,1)="A",Allgemeines!$E$26,IF(MID(AC41,LEN(AC41)-4,1)="S",Allgemeines!$E$27,)))))),""),0))))</f>
        <v>0</v>
      </c>
      <c r="AG41" s="15" t="b">
        <f>IF(Allgemeines!$E$20&gt;=3,IFERROR(IF(MATCH(AC41,Hilfstabelle!$A$1:$A$71,0)&gt;=1,IF(MID(AC41,LEN(AC41)-4,1)="D",3,IF(MID(AC41,LEN(AC41)-4,1)="C",4,5))),""))</f>
        <v>0</v>
      </c>
      <c r="AH41" s="16">
        <f>IFERROR(IF(AND(AH40=0,IF(IFERROR(FIND("Finale",AD41,1),FALSE)=1,FALSE)),0,IF(AND(AC41&lt;&gt;"Pause",AD41&lt;&gt;"Finale",AE41&gt;1),CONCATENATE("00:",AG41*AF41*Allgemeines!$E$33),IF(AND(AC41="Pause",AD40=1,IFERROR(FIND("SE",AD41,1),0)),Allgemeines!$E$36*AF39,IF(IFERROR(FIND("Finale",AD41,1),0)&gt;0,TIME(0,20,0)*AF41,IF(AND(AC41="Pause",AH40&lt;&gt;0),Allgemeines!$E$30,TIME(0,0,0)))))),TIME(0,0,0))</f>
        <v>6.9444444444444441E-3</v>
      </c>
    </row>
    <row r="42" spans="1:34" x14ac:dyDescent="0.25">
      <c r="A42" s="45"/>
      <c r="B42" s="43"/>
      <c r="C42" s="47"/>
      <c r="D42" s="12">
        <f t="shared" si="31"/>
        <v>0.1041666666666667</v>
      </c>
      <c r="E42" s="10" t="str">
        <f t="shared" si="30"/>
        <v>00:0</v>
      </c>
      <c r="F42" s="32">
        <f t="shared" si="32"/>
        <v>0.1041666666666667</v>
      </c>
      <c r="G42" s="40"/>
      <c r="H42" s="12">
        <f t="shared" si="11"/>
        <v>0.52083333333333304</v>
      </c>
      <c r="I42" s="13">
        <f t="shared" ref="I42:I46" si="33">H42+P42</f>
        <v>0.52083333333333304</v>
      </c>
      <c r="J42" s="34" t="b">
        <f>IF(Allgemeines!$E$20&gt;=1,IF(K42="","",1))</f>
        <v>0</v>
      </c>
      <c r="K42" s="15" t="str">
        <f>K40</f>
        <v/>
      </c>
      <c r="L42" s="15">
        <v>2</v>
      </c>
      <c r="M42" s="15" t="b">
        <f>IF(Allgemeines!$E$20&gt;=1,IF(OR(ROUNDUP((M40/2)/6,0)*6=6,VLOOKUP(M40,Hilfstabelle!$F$2:$G$61,2,FALSE)&lt;=6,K42="Pause"),0,VLOOKUP(M40,Hilfstabelle!$F$2:$G$61,2,FALSE)))</f>
        <v>0</v>
      </c>
      <c r="N42" s="15" t="b">
        <f>IF(Allgemeines!$E$20&gt;=1,IF(K42="Pause","",IF(M42=0,,ROUNDUP(M42/IFERROR(IF(MATCH(K42,Hilfstabelle!$A$1:$A$71,0)&gt;=1,IF(MID(K42,LEN(K42)-4,1)="D",Allgemeines!$E$23,IF(MID(K42,LEN(K42)-4,1)="C",Allgemeines!$E$24,IF(MID(K42,LEN(K42)-4,1)="B",Allgemeines!$E$25,IF(MID(K42,LEN(K42)-4,1)="A",Allgemeines!$E$26,IF(MID(K42,LEN(K42)-4,1)="S",Allgemeines!$E$27,)))))),""),0))))</f>
        <v>0</v>
      </c>
      <c r="O42" s="15" t="b">
        <f>IF(Allgemeines!$E$20&gt;=1,IFERROR(IF(MATCH(K42,Hilfstabelle!$A$1:$A$71,0)&gt;=1,IF(MID(K42,LEN(K42)-4,1)="D",3,IF(MID(K42,LEN(K42)-4,1)="C",4,5))),""))</f>
        <v>0</v>
      </c>
      <c r="P42" s="16" t="str">
        <f>IFERROR(IF(AND(P41=0,IF(IFERROR(FIND("Finale",L42,1),FALSE)=1,FALSE)),0,IF(AND(K42&lt;&gt;"Pause",L42&lt;&gt;"Finale",M42&gt;1),CONCATENATE("00:",O42*N42*Allgemeines!$E$33),IF(AND(K42="Pause",L41=1,IFERROR(FIND("SE",L42,1),0)),Allgemeines!$E$36*N40,IF(IFERROR(FIND("Finale",L42,1),0)&gt;0,TIME(0,20,0)*N42,IF(AND(K42="Pause",P41&lt;&gt;0),Allgemeines!$E$30,TIME(0,0,0)))))),TIME(0,0,0))</f>
        <v>00:0</v>
      </c>
      <c r="Q42" s="12">
        <f t="shared" si="5"/>
        <v>0.52083333333333304</v>
      </c>
      <c r="R42" s="13">
        <f t="shared" ref="R42:R46" si="34">Q42+Y42</f>
        <v>0.52083333333333304</v>
      </c>
      <c r="S42" s="14" t="b">
        <f>IF(Allgemeines!$E$20&gt;=2,IF(T42="","",2))</f>
        <v>0</v>
      </c>
      <c r="T42" s="15" t="str">
        <f>T40</f>
        <v/>
      </c>
      <c r="U42" s="15">
        <v>2</v>
      </c>
      <c r="V42" s="15" t="b">
        <f>IF(Allgemeines!$E$20&gt;=2,IF(OR(ROUNDUP((V40/2)/6,0)*6=6,VLOOKUP(V40,Hilfstabelle!$F$2:$G$61,2,FALSE)&lt;=6,T42="Pause"),0,VLOOKUP(V40,Hilfstabelle!$F$2:$G$61,2,FALSE)))</f>
        <v>0</v>
      </c>
      <c r="W42" s="15" t="b">
        <f>IF(Allgemeines!$E$20&gt;=2,IF(T42="Pause","",IF(V42=0,,ROUNDUP(V42/IFERROR(IF(MATCH(T42,Hilfstabelle!$A$1:$A$71,0)&gt;=1,IF(MID(T42,LEN(T42)-4,1)="D",Allgemeines!$E$23,IF(MID(T42,LEN(T42)-4,1)="C",Allgemeines!$E$24,IF(MID(T42,LEN(T42)-4,1)="B",Allgemeines!$E$25,IF(MID(T42,LEN(T42)-4,1)="A",Allgemeines!$E$26,IF(MID(T42,LEN(T42)-4,1)="S",Allgemeines!$E$27,)))))),""),0))))</f>
        <v>0</v>
      </c>
      <c r="X42" s="15" t="b">
        <f>IF(Allgemeines!$E$20&gt;=2,IFERROR(IF(MATCH(T42,Hilfstabelle!$A$1:$A$71,0)&gt;=1,IF(MID(T42,LEN(T42)-4,1)="D",3,IF(MID(T42,LEN(T42)-4,1)="C",4,5))),""))</f>
        <v>0</v>
      </c>
      <c r="Y42" s="16" t="str">
        <f>IFERROR(IF(AND(Y41=0,IF(IFERROR(FIND("Finale",U42,1),FALSE)=1,FALSE)),0,IF(AND(T42&lt;&gt;"Pause",U42&lt;&gt;"Finale",V42&gt;1),CONCATENATE("00:",X42*W42*Allgemeines!$E$33),IF(AND(T42="Pause",U41=1,IFERROR(FIND("SE",U42,1),0)),Allgemeines!$E$36*W40,IF(IFERROR(FIND("Finale",U42,1),0)&gt;0,TIME(0,20,0)*W42,IF(AND(T42="Pause",Y41&lt;&gt;0),Allgemeines!$E$30,TIME(0,0,0)))))),TIME(0,0,0))</f>
        <v>00:0</v>
      </c>
      <c r="Z42" s="12">
        <f t="shared" si="6"/>
        <v>0.52083333333333304</v>
      </c>
      <c r="AA42" s="13">
        <f t="shared" ref="AA42:AA46" si="35">Z42+AH42</f>
        <v>0.52083333333333304</v>
      </c>
      <c r="AB42" s="14" t="b">
        <f>IF(Allgemeines!$E$20&gt;=3,IF(AC42="","",3))</f>
        <v>0</v>
      </c>
      <c r="AC42" s="15" t="str">
        <f>AC40</f>
        <v/>
      </c>
      <c r="AD42" s="15">
        <v>2</v>
      </c>
      <c r="AE42" s="15" t="b">
        <f>IF(Allgemeines!$E$20&gt;=3,IF(OR(ROUNDUP((AE40/2)/6,0)*6=6,VLOOKUP(AE40,Hilfstabelle!$F$2:$G$61,2,FALSE)&lt;=6,AC42="Pause"),0,VLOOKUP(AE40,Hilfstabelle!$F$2:$G$61,2,FALSE)))</f>
        <v>0</v>
      </c>
      <c r="AF42" s="15" t="b">
        <f>IF(Allgemeines!$E$20&gt;=3,IF(AC42="Pause","",IF(AE42=0,,ROUNDUP(AE42/IFERROR(IF(MATCH(AC42,Hilfstabelle!$A$1:$A$71,0)&gt;=1,IF(MID(AC42,LEN(AC42)-4,1)="D",Allgemeines!$E$23,IF(MID(AC42,LEN(AC42)-4,1)="C",Allgemeines!$E$24,IF(MID(AC42,LEN(AC42)-4,1)="B",Allgemeines!$E$25,IF(MID(AC42,LEN(AC42)-4,1)="A",Allgemeines!$E$26,IF(MID(AC42,LEN(AC42)-4,1)="S",Allgemeines!$E$27,)))))),""),0))))</f>
        <v>0</v>
      </c>
      <c r="AG42" s="15" t="b">
        <f>IF(Allgemeines!$E$20&gt;=3,IFERROR(IF(MATCH(AC42,Hilfstabelle!$A$1:$A$71,0)&gt;=1,IF(MID(AC42,LEN(AC42)-4,1)="D",3,IF(MID(AC42,LEN(AC42)-4,1)="C",4,5))),""))</f>
        <v>0</v>
      </c>
      <c r="AH42" s="16" t="str">
        <f>IFERROR(IF(AND(AH41=0,IF(IFERROR(FIND("Finale",AD42,1),FALSE)=1,FALSE)),0,IF(AND(AC42&lt;&gt;"Pause",AD42&lt;&gt;"Finale",AE42&gt;1),CONCATENATE("00:",AG42*AF42*Allgemeines!$E$33),IF(AND(AC42="Pause",AD41=1,IFERROR(FIND("SE",AD42,1),0)),Allgemeines!$E$36*AF40,IF(IFERROR(FIND("Finale",AD42,1),0)&gt;0,TIME(0,20,0)*AF42,IF(AND(AC42="Pause",AH41&lt;&gt;0),Allgemeines!$E$30,TIME(0,0,0)))))),TIME(0,0,0))</f>
        <v>00:0</v>
      </c>
    </row>
    <row r="43" spans="1:34" x14ac:dyDescent="0.25">
      <c r="A43" s="45"/>
      <c r="B43" s="43"/>
      <c r="C43" s="44"/>
      <c r="D43" s="12">
        <f t="shared" si="31"/>
        <v>0.1041666666666667</v>
      </c>
      <c r="E43" s="10">
        <f t="shared" si="30"/>
        <v>6.9444444444444441E-3</v>
      </c>
      <c r="F43" s="32">
        <f t="shared" si="32"/>
        <v>0.11111111111111115</v>
      </c>
      <c r="G43" s="40"/>
      <c r="H43" s="12">
        <f t="shared" si="11"/>
        <v>0.52083333333333304</v>
      </c>
      <c r="I43" s="13">
        <f t="shared" si="33"/>
        <v>0.52777777777777746</v>
      </c>
      <c r="J43" s="34"/>
      <c r="K43" s="15" t="s">
        <v>10</v>
      </c>
      <c r="L43" s="15"/>
      <c r="M43" s="15"/>
      <c r="N43" s="15" t="b">
        <f>IF(Allgemeines!$E$20&gt;=1,IF(K43="Pause","",IF(M43=0,,ROUNDUP(M43/IFERROR(IF(MATCH(K43,Hilfstabelle!$A$1:$A$71,0)&gt;=1,IF(MID(K43,LEN(K43)-4,1)="D",Allgemeines!$E$23,IF(MID(K43,LEN(K43)-4,1)="C",Allgemeines!$E$24,IF(MID(K43,LEN(K43)-4,1)="B",Allgemeines!$E$25,IF(MID(K43,LEN(K43)-4,1)="A",Allgemeines!$E$26,IF(MID(K43,LEN(K43)-4,1)="S",Allgemeines!$E$27,)))))),""),0))))</f>
        <v>0</v>
      </c>
      <c r="O43" s="15" t="b">
        <f>IF(Allgemeines!$E$20&gt;=1,IFERROR(IF(MATCH(K43,Hilfstabelle!$A$1:$A$71,0)&gt;=1,IF(MID(K43,LEN(K43)-4,1)="D",3,IF(MID(K43,LEN(K43)-4,1)="C",4,5))),""))</f>
        <v>0</v>
      </c>
      <c r="P43" s="16">
        <f>IFERROR(IF(AND(P42=0,IF(IFERROR(FIND("Finale",L43,1),FALSE)=1,FALSE)),0,IF(AND(K43&lt;&gt;"Pause",L43&lt;&gt;"Finale",M43&gt;1),CONCATENATE("00:",O43*N43*Allgemeines!$E$33),IF(AND(K43="Pause",L42=1,IFERROR(FIND("SE",L43,1),0)),Allgemeines!$E$36*N41,IF(IFERROR(FIND("Finale",L43,1),0)&gt;0,TIME(0,20,0)*N43,IF(AND(K43="Pause",P42&lt;&gt;0),Allgemeines!$E$30,TIME(0,0,0)))))),TIME(0,0,0))</f>
        <v>6.9444444444444441E-3</v>
      </c>
      <c r="Q43" s="12">
        <f t="shared" si="5"/>
        <v>0.52083333333333304</v>
      </c>
      <c r="R43" s="13">
        <f t="shared" si="34"/>
        <v>0.52777777777777746</v>
      </c>
      <c r="S43" s="14"/>
      <c r="T43" s="15" t="s">
        <v>10</v>
      </c>
      <c r="U43" s="15"/>
      <c r="V43" s="15"/>
      <c r="W43" s="15" t="b">
        <f>IF(Allgemeines!$E$20&gt;=2,IF(T43="Pause","",IF(V43=0,,ROUNDUP(V43/IFERROR(IF(MATCH(T43,Hilfstabelle!$A$1:$A$71,0)&gt;=1,IF(MID(T43,LEN(T43)-4,1)="D",Allgemeines!$E$23,IF(MID(T43,LEN(T43)-4,1)="C",Allgemeines!$E$24,IF(MID(T43,LEN(T43)-4,1)="B",Allgemeines!$E$25,IF(MID(T43,LEN(T43)-4,1)="A",Allgemeines!$E$26,IF(MID(T43,LEN(T43)-4,1)="S",Allgemeines!$E$27,)))))),""),0))))</f>
        <v>0</v>
      </c>
      <c r="X43" s="15" t="b">
        <f>IF(Allgemeines!$E$20&gt;=2,IFERROR(IF(MATCH(T43,Hilfstabelle!$A$1:$A$71,0)&gt;=1,IF(MID(T43,LEN(T43)-4,1)="D",3,IF(MID(T43,LEN(T43)-4,1)="C",4,5))),""))</f>
        <v>0</v>
      </c>
      <c r="Y43" s="16">
        <f>IFERROR(IF(AND(Y42=0,IF(IFERROR(FIND("Finale",U43,1),FALSE)=1,FALSE)),0,IF(AND(T43&lt;&gt;"Pause",U43&lt;&gt;"Finale",V43&gt;1),CONCATENATE("00:",X43*W43*Allgemeines!$E$33),IF(AND(T43="Pause",U42=1,IFERROR(FIND("SE",U43,1),0)),Allgemeines!$E$36*W41,IF(IFERROR(FIND("Finale",U43,1),0)&gt;0,TIME(0,20,0)*W43,IF(AND(T43="Pause",Y42&lt;&gt;0),Allgemeines!$E$30,TIME(0,0,0)))))),TIME(0,0,0))</f>
        <v>6.9444444444444441E-3</v>
      </c>
      <c r="Z43" s="12">
        <f t="shared" si="6"/>
        <v>0.52083333333333304</v>
      </c>
      <c r="AA43" s="13">
        <f t="shared" si="35"/>
        <v>0.52777777777777746</v>
      </c>
      <c r="AB43" s="14"/>
      <c r="AC43" s="15" t="s">
        <v>10</v>
      </c>
      <c r="AD43" s="15"/>
      <c r="AE43" s="15"/>
      <c r="AF43" s="15" t="b">
        <f>IF(Allgemeines!$E$20&gt;=3,IF(AC43="Pause","",IF(AE43=0,,ROUNDUP(AE43/IFERROR(IF(MATCH(AC43,Hilfstabelle!$A$1:$A$71,0)&gt;=1,IF(MID(AC43,LEN(AC43)-4,1)="D",Allgemeines!$E$23,IF(MID(AC43,LEN(AC43)-4,1)="C",Allgemeines!$E$24,IF(MID(AC43,LEN(AC43)-4,1)="B",Allgemeines!$E$25,IF(MID(AC43,LEN(AC43)-4,1)="A",Allgemeines!$E$26,IF(MID(AC43,LEN(AC43)-4,1)="S",Allgemeines!$E$27,)))))),""),0))))</f>
        <v>0</v>
      </c>
      <c r="AG43" s="15" t="b">
        <f>IF(Allgemeines!$E$20&gt;=3,IFERROR(IF(MATCH(AC43,Hilfstabelle!$A$1:$A$71,0)&gt;=1,IF(MID(AC43,LEN(AC43)-4,1)="D",3,IF(MID(AC43,LEN(AC43)-4,1)="C",4,5))),""))</f>
        <v>0</v>
      </c>
      <c r="AH43" s="16">
        <f>IFERROR(IF(AND(AH42=0,IF(IFERROR(FIND("Finale",AD43,1),FALSE)=1,FALSE)),0,IF(AND(AC43&lt;&gt;"Pause",AD43&lt;&gt;"Finale",AE43&gt;1),CONCATENATE("00:",AG43*AF43*Allgemeines!$E$33),IF(AND(AC43="Pause",AD42=1,IFERROR(FIND("SE",AD43,1),0)),Allgemeines!$E$36*AF41,IF(IFERROR(FIND("Finale",AD43,1),0)&gt;0,TIME(0,20,0)*AF43,IF(AND(AC43="Pause",AH42&lt;&gt;0),Allgemeines!$E$30,TIME(0,0,0)))))),TIME(0,0,0))</f>
        <v>6.9444444444444441E-3</v>
      </c>
    </row>
    <row r="44" spans="1:34" x14ac:dyDescent="0.25">
      <c r="A44" s="45"/>
      <c r="B44" s="43"/>
      <c r="C44" s="44"/>
      <c r="D44" s="12">
        <f t="shared" si="31"/>
        <v>0.11111111111111115</v>
      </c>
      <c r="E44" s="10" t="str">
        <f t="shared" si="30"/>
        <v>00:0</v>
      </c>
      <c r="F44" s="32">
        <f t="shared" si="32"/>
        <v>0.11111111111111115</v>
      </c>
      <c r="G44" s="40"/>
      <c r="H44" s="12">
        <f t="shared" si="11"/>
        <v>0.52777777777777746</v>
      </c>
      <c r="I44" s="13">
        <f t="shared" si="33"/>
        <v>0.52777777777777746</v>
      </c>
      <c r="J44" s="34" t="b">
        <f>IF(Allgemeines!$E$20&gt;=1,IF(K44="","",1))</f>
        <v>0</v>
      </c>
      <c r="K44" s="15" t="str">
        <f>K40</f>
        <v/>
      </c>
      <c r="L44" s="15">
        <v>3</v>
      </c>
      <c r="M44" s="15" t="b">
        <f>IF(Allgemeines!$E$20&gt;=1,IFERROR(IF(OR(ROUNDUP((M42/2)/6,0)*6=6,VLOOKUP(M42,Hilfstabelle!$F$2:$G$61,2,FALSE)&lt;6,K44="Pause"),0,VLOOKUP(M42,Hilfstabelle!$F$2:$G$61,2,FALSE)),0))</f>
        <v>0</v>
      </c>
      <c r="N44" s="15" t="b">
        <f>IF(Allgemeines!$E$20&gt;=1,IF(K44="Pause","",IF(M44=0,,ROUNDUP(M44/IFERROR(IF(MATCH(K44,Hilfstabelle!$A$1:$A$71,0)&gt;=1,IF(MID(K44,LEN(K44)-4,1)="D",Allgemeines!$E$23,IF(MID(K44,LEN(K44)-4,1)="C",Allgemeines!$E$24,IF(MID(K44,LEN(K44)-4,1)="B",Allgemeines!$E$25,IF(MID(K44,LEN(K44)-4,1)="A",Allgemeines!$E$26,IF(MID(K44,LEN(K44)-4,1)="S",Allgemeines!$E$27,)))))),""),0))))</f>
        <v>0</v>
      </c>
      <c r="O44" s="15" t="b">
        <f>IF(Allgemeines!$E$20&gt;=1,IFERROR(IF(MATCH(K44,Hilfstabelle!$A$1:$A$71,0)&gt;=1,IF(MID(K44,LEN(K44)-4,1)="D",3,IF(MID(K44,LEN(K44)-4,1)="C",4,5))),""))</f>
        <v>0</v>
      </c>
      <c r="P44" s="16" t="str">
        <f>IFERROR(IF(AND(P43=0,IF(IFERROR(FIND("Finale",L44,1),FALSE)=1,FALSE)),0,IF(AND(K44&lt;&gt;"Pause",L44&lt;&gt;"Finale",M44&gt;1),CONCATENATE("00:",O44*N44*Allgemeines!$E$33),IF(AND(K44="Pause",L43=1,IFERROR(FIND("SE",L44,1),0)),Allgemeines!$E$36*N42,IF(IFERROR(FIND("Finale",L44,1),0)&gt;0,TIME(0,20,0)*N44,IF(AND(K44="Pause",P43&lt;&gt;0),Allgemeines!$E$30,TIME(0,0,0)))))),TIME(0,0,0))</f>
        <v>00:0</v>
      </c>
      <c r="Q44" s="12">
        <f t="shared" si="5"/>
        <v>0.52777777777777746</v>
      </c>
      <c r="R44" s="13">
        <f t="shared" si="34"/>
        <v>0.52777777777777746</v>
      </c>
      <c r="S44" s="14" t="b">
        <f>IF(Allgemeines!$E$20&gt;=2,IF(T44="","",2))</f>
        <v>0</v>
      </c>
      <c r="T44" s="15" t="str">
        <f>T40</f>
        <v/>
      </c>
      <c r="U44" s="15">
        <v>3</v>
      </c>
      <c r="V44" s="15" t="str">
        <f>IF(Allgemeines!$E$20&gt;=2,IFERROR(IF(OR(ROUNDUP((V42/2)/6,0)*6=6,VLOOKUP(V42,Hilfstabelle!$F$2:$G$61,2,FALSE)&lt;6,T44="Pause"),0,VLOOKUP(V42,Hilfstabelle!$F$2:$G$61,2,FALSE)),0),"")</f>
        <v/>
      </c>
      <c r="W44" s="15" t="b">
        <f>IF(Allgemeines!$E$20&gt;=2,IF(T44="Pause","",IF(V44=0,,ROUNDUP(V44/IFERROR(IF(MATCH(T44,Hilfstabelle!$A$1:$A$71,0)&gt;=1,IF(MID(T44,LEN(T44)-4,1)="D",Allgemeines!$E$23,IF(MID(T44,LEN(T44)-4,1)="C",Allgemeines!$E$24,IF(MID(T44,LEN(T44)-4,1)="B",Allgemeines!$E$25,IF(MID(T44,LEN(T44)-4,1)="A",Allgemeines!$E$26,IF(MID(T44,LEN(T44)-4,1)="S",Allgemeines!$E$27,)))))),""),0))))</f>
        <v>0</v>
      </c>
      <c r="X44" s="15" t="b">
        <f>IF(Allgemeines!$E$20&gt;=2,IFERROR(IF(MATCH(T44,Hilfstabelle!$A$1:$A$71,0)&gt;=1,IF(MID(T44,LEN(T44)-4,1)="D",3,IF(MID(T44,LEN(T44)-4,1)="C",4,5))),""))</f>
        <v>0</v>
      </c>
      <c r="Y44" s="16" t="str">
        <f>IFERROR(IF(AND(Y43=0,IF(IFERROR(FIND("Finale",U44,1),FALSE)=1,FALSE)),0,IF(AND(T44&lt;&gt;"Pause",U44&lt;&gt;"Finale",V44&gt;1),CONCATENATE("00:",X44*W44*Allgemeines!$E$33),IF(AND(T44="Pause",U43=1,IFERROR(FIND("SE",U44,1),0)),Allgemeines!$E$36*W42,IF(IFERROR(FIND("Finale",U44,1),0)&gt;0,TIME(0,20,0)*W44,IF(AND(T44="Pause",Y43&lt;&gt;0),Allgemeines!$E$30,TIME(0,0,0)))))),TIME(0,0,0))</f>
        <v>00:0</v>
      </c>
      <c r="Z44" s="12">
        <f t="shared" si="6"/>
        <v>0.52777777777777746</v>
      </c>
      <c r="AA44" s="13">
        <f t="shared" si="35"/>
        <v>0.52777777777777746</v>
      </c>
      <c r="AB44" s="14" t="b">
        <f>IF(Allgemeines!$E$20&gt;=3,IF(AC44="","",3))</f>
        <v>0</v>
      </c>
      <c r="AC44" s="15" t="str">
        <f>AC40</f>
        <v/>
      </c>
      <c r="AD44" s="15">
        <v>3</v>
      </c>
      <c r="AE44" s="15" t="str">
        <f>IF(Allgemeines!$E$20&gt;=3,IFERROR(IF(OR(ROUNDUP((AE42/2)/6,0)*6=6,VLOOKUP(AE42,Hilfstabelle!$F$2:$G$61,2,FALSE)&lt;6,AC44="Pause"),0,VLOOKUP(AE42,Hilfstabelle!$F$2:$G$61,2,FALSE)),0),"")</f>
        <v/>
      </c>
      <c r="AF44" s="15" t="b">
        <f>IF(Allgemeines!$E$20&gt;=3,IF(AC44="Pause","",IF(AE44=0,,ROUNDUP(AE44/IFERROR(IF(MATCH(AC44,Hilfstabelle!$A$1:$A$71,0)&gt;=1,IF(MID(AC44,LEN(AC44)-4,1)="D",Allgemeines!$E$23,IF(MID(AC44,LEN(AC44)-4,1)="C",Allgemeines!$E$24,IF(MID(AC44,LEN(AC44)-4,1)="B",Allgemeines!$E$25,IF(MID(AC44,LEN(AC44)-4,1)="A",Allgemeines!$E$26,IF(MID(AC44,LEN(AC44)-4,1)="S",Allgemeines!$E$27,)))))),""),0))))</f>
        <v>0</v>
      </c>
      <c r="AG44" s="15" t="b">
        <f>IF(Allgemeines!$E$20&gt;=3,IFERROR(IF(MATCH(AC44,Hilfstabelle!$A$1:$A$71,0)&gt;=1,IF(MID(AC44,LEN(AC44)-4,1)="D",3,IF(MID(AC44,LEN(AC44)-4,1)="C",4,5))),""))</f>
        <v>0</v>
      </c>
      <c r="AH44" s="16" t="str">
        <f>IFERROR(IF(AND(AH43=0,IF(IFERROR(FIND("Finale",AD44,1),FALSE)=1,FALSE)),0,IF(AND(AC44&lt;&gt;"Pause",AD44&lt;&gt;"Finale",AE44&gt;1),CONCATENATE("00:",AG44*AF44*Allgemeines!$E$33),IF(AND(AC44="Pause",AD43=1,IFERROR(FIND("SE",AD44,1),0)),Allgemeines!$E$36*AF42,IF(IFERROR(FIND("Finale",AD44,1),0)&gt;0,TIME(0,20,0)*AF44,IF(AND(AC44="Pause",AH43&lt;&gt;0),Allgemeines!$E$30,TIME(0,0,0)))))),TIME(0,0,0))</f>
        <v>00:0</v>
      </c>
    </row>
    <row r="45" spans="1:34" x14ac:dyDescent="0.25">
      <c r="A45" s="45"/>
      <c r="B45" s="43"/>
      <c r="C45" s="44"/>
      <c r="D45" s="12">
        <f t="shared" si="31"/>
        <v>0.11111111111111115</v>
      </c>
      <c r="E45" s="10">
        <f t="shared" si="30"/>
        <v>6.9444444444444441E-3</v>
      </c>
      <c r="F45" s="32">
        <f t="shared" si="32"/>
        <v>0.11805555555555559</v>
      </c>
      <c r="G45" s="40"/>
      <c r="H45" s="12">
        <f t="shared" si="11"/>
        <v>0.52777777777777746</v>
      </c>
      <c r="I45" s="13">
        <f t="shared" si="33"/>
        <v>0.53472222222222188</v>
      </c>
      <c r="J45" s="34"/>
      <c r="K45" s="15" t="s">
        <v>10</v>
      </c>
      <c r="L45" s="15"/>
      <c r="M45" s="15"/>
      <c r="N45" s="15" t="b">
        <f>IF(Allgemeines!$E$20&gt;=1,IF(K45="Pause","",IF(M45=0,,ROUNDUP(M45/IFERROR(IF(MATCH(K45,Hilfstabelle!$A$1:$A$71,0)&gt;=1,IF(MID(K45,LEN(K45)-4,1)="D",Allgemeines!$E$23,IF(MID(K45,LEN(K45)-4,1)="C",Allgemeines!$E$24,IF(MID(K45,LEN(K45)-4,1)="B",Allgemeines!$E$25,IF(MID(K45,LEN(K45)-4,1)="A",Allgemeines!$E$26,IF(MID(K45,LEN(K45)-4,1)="S",Allgemeines!$E$27,)))))),""),0))))</f>
        <v>0</v>
      </c>
      <c r="O45" s="15" t="b">
        <f>IF(Allgemeines!$E$20&gt;=1,IFERROR(IF(MATCH(K45,Hilfstabelle!$A$1:$A$71,0)&gt;=1,IF(MID(K45,LEN(K45)-4,1)="D",3,IF(MID(K45,LEN(K45)-4,1)="C",4,5))),""))</f>
        <v>0</v>
      </c>
      <c r="P45" s="16">
        <f>IFERROR(IF(AND(P44=0,IF(IFERROR(FIND("Finale",L45,1),FALSE)=1,FALSE)),0,IF(AND(K45&lt;&gt;"Pause",L45&lt;&gt;"Finale",M45&gt;1),CONCATENATE("00:",O45*N45*Allgemeines!$E$33),IF(AND(K45="Pause",L44=1,IFERROR(FIND("SE",L45,1),0)),Allgemeines!$E$36*N43,IF(IFERROR(FIND("Finale",L45,1),0)&gt;0,TIME(0,20,0)*N45,IF(AND(K45="Pause",P44&lt;&gt;0),Allgemeines!$E$30,TIME(0,0,0)))))),TIME(0,0,0))</f>
        <v>6.9444444444444441E-3</v>
      </c>
      <c r="Q45" s="12">
        <f t="shared" si="5"/>
        <v>0.52777777777777746</v>
      </c>
      <c r="R45" s="13">
        <f t="shared" si="34"/>
        <v>0.53472222222222188</v>
      </c>
      <c r="S45" s="14"/>
      <c r="T45" s="15" t="s">
        <v>10</v>
      </c>
      <c r="U45" s="15"/>
      <c r="V45" s="15"/>
      <c r="W45" s="15" t="b">
        <f>IF(Allgemeines!$E$20&gt;=2,IF(T45="Pause","",IF(V45=0,,ROUNDUP(V45/IFERROR(IF(MATCH(T45,Hilfstabelle!$A$1:$A$71,0)&gt;=1,IF(MID(T45,LEN(T45)-4,1)="D",Allgemeines!$E$23,IF(MID(T45,LEN(T45)-4,1)="C",Allgemeines!$E$24,IF(MID(T45,LEN(T45)-4,1)="B",Allgemeines!$E$25,IF(MID(T45,LEN(T45)-4,1)="A",Allgemeines!$E$26,IF(MID(T45,LEN(T45)-4,1)="S",Allgemeines!$E$27,)))))),""),0))))</f>
        <v>0</v>
      </c>
      <c r="X45" s="15" t="b">
        <f>IF(Allgemeines!$E$20&gt;=2,IFERROR(IF(MATCH(T45,Hilfstabelle!$A$1:$A$71,0)&gt;=1,IF(MID(T45,LEN(T45)-4,1)="D",3,IF(MID(T45,LEN(T45)-4,1)="C",4,5))),""))</f>
        <v>0</v>
      </c>
      <c r="Y45" s="16">
        <f>IFERROR(IF(AND(Y44=0,IF(IFERROR(FIND("Finale",U45,1),FALSE)=1,FALSE)),0,IF(AND(T45&lt;&gt;"Pause",U45&lt;&gt;"Finale",V45&gt;1),CONCATENATE("00:",X45*W45*Allgemeines!$E$33),IF(AND(T45="Pause",U44=1,IFERROR(FIND("SE",U45,1),0)),Allgemeines!$E$36*W43,IF(IFERROR(FIND("Finale",U45,1),0)&gt;0,TIME(0,20,0)*W45,IF(AND(T45="Pause",Y44&lt;&gt;0),Allgemeines!$E$30,TIME(0,0,0)))))),TIME(0,0,0))</f>
        <v>6.9444444444444441E-3</v>
      </c>
      <c r="Z45" s="12">
        <f t="shared" si="6"/>
        <v>0.52777777777777746</v>
      </c>
      <c r="AA45" s="13">
        <f t="shared" si="35"/>
        <v>0.53472222222222188</v>
      </c>
      <c r="AB45" s="14"/>
      <c r="AC45" s="15" t="s">
        <v>10</v>
      </c>
      <c r="AD45" s="15"/>
      <c r="AE45" s="15"/>
      <c r="AF45" s="15" t="b">
        <f>IF(Allgemeines!$E$20&gt;=3,IF(AC45="Pause","",IF(AE45=0,,ROUNDUP(AE45/IFERROR(IF(MATCH(AC45,Hilfstabelle!$A$1:$A$71,0)&gt;=1,IF(MID(AC45,LEN(AC45)-4,1)="D",Allgemeines!$E$23,IF(MID(AC45,LEN(AC45)-4,1)="C",Allgemeines!$E$24,IF(MID(AC45,LEN(AC45)-4,1)="B",Allgemeines!$E$25,IF(MID(AC45,LEN(AC45)-4,1)="A",Allgemeines!$E$26,IF(MID(AC45,LEN(AC45)-4,1)="S",Allgemeines!$E$27,)))))),""),0))))</f>
        <v>0</v>
      </c>
      <c r="AG45" s="15" t="b">
        <f>IF(Allgemeines!$E$20&gt;=3,IFERROR(IF(MATCH(AC45,Hilfstabelle!$A$1:$A$71,0)&gt;=1,IF(MID(AC45,LEN(AC45)-4,1)="D",3,IF(MID(AC45,LEN(AC45)-4,1)="C",4,5))),""))</f>
        <v>0</v>
      </c>
      <c r="AH45" s="16">
        <f>IFERROR(IF(AND(AH44=0,IF(IFERROR(FIND("Finale",AD45,1),FALSE)=1,FALSE)),0,IF(AND(AC45&lt;&gt;"Pause",AD45&lt;&gt;"Finale",AE45&gt;1),CONCATENATE("00:",AG45*AF45*Allgemeines!$E$33),IF(AND(AC45="Pause",AD44=1,IFERROR(FIND("SE",AD45,1),0)),Allgemeines!$E$36*AF43,IF(IFERROR(FIND("Finale",AD45,1),0)&gt;0,TIME(0,20,0)*AF45,IF(AND(AC45="Pause",AH44&lt;&gt;0),Allgemeines!$E$30,TIME(0,0,0)))))),TIME(0,0,0))</f>
        <v>6.9444444444444441E-3</v>
      </c>
    </row>
    <row r="46" spans="1:34" x14ac:dyDescent="0.25">
      <c r="A46" s="48"/>
      <c r="B46" s="49"/>
      <c r="C46" s="50">
        <f>A40+B40</f>
        <v>0</v>
      </c>
      <c r="D46" s="19">
        <f t="shared" si="31"/>
        <v>0.11805555555555559</v>
      </c>
      <c r="E46" s="17" t="str">
        <f t="shared" si="30"/>
        <v>00:0</v>
      </c>
      <c r="F46" s="37">
        <f>D46+E46</f>
        <v>0.11805555555555559</v>
      </c>
      <c r="G46" s="41">
        <f>F46-D40</f>
        <v>2.0833333333333343E-2</v>
      </c>
      <c r="H46" s="19">
        <f t="shared" si="11"/>
        <v>0.53472222222222188</v>
      </c>
      <c r="I46" s="33">
        <f t="shared" si="33"/>
        <v>0.53472222222222188</v>
      </c>
      <c r="J46" s="35" t="str">
        <f>IF(K46="","",1)</f>
        <v/>
      </c>
      <c r="K46" s="21" t="str">
        <f>K40</f>
        <v/>
      </c>
      <c r="L46" s="21" t="str">
        <f>IF(Allgemeines!$E$20&gt;=1,IF(Allgemeines!$E$39="x","Finale + SE","Finale"),"")</f>
        <v/>
      </c>
      <c r="M46" s="21" t="b">
        <f>IF(Allgemeines!$E$20&gt;=1,IF(M40&gt;6,6,M40))</f>
        <v>0</v>
      </c>
      <c r="N46" s="21" t="b">
        <f>IF(Allgemeines!$E$20&gt;=1,IF(K46="Pause","",IF(M46=0,,ROUNDUP(M46/IFERROR(IF(MATCH(K46,Hilfstabelle!$A$1:$A$71,0)&gt;=1,IF(MID(K46,LEN(K46)-4,1)="D",Allgemeines!$E$23,IF(MID(K46,LEN(K46)-4,1)="C",Allgemeines!$E$24,IF(MID(K46,LEN(K46)-4,1)="B",Allgemeines!$E$25,IF(MID(K46,LEN(K46)-4,1)="A",Allgemeines!$E$26,IF(MID(K46,LEN(K46)-4,1)="S",Allgemeines!$E$27,)))))),""),0))))</f>
        <v>0</v>
      </c>
      <c r="O46" s="21" t="b">
        <f>IF(Allgemeines!$E$20&gt;=1,IFERROR(IF(MATCH(K46,Hilfstabelle!$A$1:$A$71,0)&gt;=1,IF(MID(K46,LEN(K46)-4,1)="D",3,IF(MID(K46,LEN(K46)-4,1)="C",4,5))),""))</f>
        <v>0</v>
      </c>
      <c r="P46" s="22" t="str">
        <f>IFERROR(IF(AND(P45=0,IF(IFERROR(FIND("Finale",L46,1),FALSE)=1,FALSE)),0,IF(AND(K46&lt;&gt;"Pause",L46&lt;&gt;"Finale",M46&gt;1),CONCATENATE("00:",O46*N46*Allgemeines!$E$33),IF(AND(K46="Pause",L45=1,IFERROR(FIND("SE",L46,1),0)),Allgemeines!$E$36*N44,IF(IFERROR(FIND("Finale",L46,1),0)&gt;0,TIME(0,20,0)*N46,IF(AND(K46="Pause",P45&lt;&gt;0),Allgemeines!$E$30,TIME(0,0,0)))))),TIME(0,0,0))</f>
        <v>00:0</v>
      </c>
      <c r="Q46" s="19">
        <f t="shared" si="5"/>
        <v>0.53472222222222188</v>
      </c>
      <c r="R46" s="18">
        <f t="shared" si="34"/>
        <v>0.53472222222222188</v>
      </c>
      <c r="S46" s="20" t="str">
        <f>IF(T46="","",2)</f>
        <v/>
      </c>
      <c r="T46" s="21" t="str">
        <f>T40</f>
        <v/>
      </c>
      <c r="U46" s="21" t="str">
        <f>IF(Allgemeines!$E$20&gt;=2,IF(Allgemeines!$E$39="x","Finale + SE","Finale"),"")</f>
        <v/>
      </c>
      <c r="V46" s="21" t="str">
        <f>IF(Allgemeines!$E$20&gt;=2,IF(V40&gt;6,6,V40),"")</f>
        <v/>
      </c>
      <c r="W46" s="21" t="b">
        <f>IF(Allgemeines!$E$20&gt;=2,IF(T46="Pause","",IF(V46=0,,ROUNDUP(V46/IFERROR(IF(MATCH(T46,Hilfstabelle!$A$1:$A$71,0)&gt;=1,IF(MID(T46,LEN(T46)-4,1)="D",Allgemeines!$E$23,IF(MID(T46,LEN(T46)-4,1)="C",Allgemeines!$E$24,IF(MID(T46,LEN(T46)-4,1)="B",Allgemeines!$E$25,IF(MID(T46,LEN(T46)-4,1)="A",Allgemeines!$E$26,IF(MID(T46,LEN(T46)-4,1)="S",Allgemeines!$E$27,)))))),""),0))))</f>
        <v>0</v>
      </c>
      <c r="X46" s="21" t="b">
        <f>IF(Allgemeines!$E$20&gt;=2,IFERROR(IF(MATCH(T46,Hilfstabelle!$A$1:$A$71,0)&gt;=1,IF(MID(T46,LEN(T46)-4,1)="D",3,IF(MID(T46,LEN(T46)-4,1)="C",4,5))),""))</f>
        <v>0</v>
      </c>
      <c r="Y46" s="22" t="str">
        <f>IFERROR(IF(AND(Y45=0,IF(IFERROR(FIND("Finale",U46,1),FALSE)=1,FALSE)),0,IF(AND(T46&lt;&gt;"Pause",U46&lt;&gt;"Finale",V46&gt;1),CONCATENATE("00:",X46*W46*Allgemeines!$E$33),IF(AND(T46="Pause",U45=1,IFERROR(FIND("SE",U46,1),0)),Allgemeines!$E$36*W44,IF(IFERROR(FIND("Finale",U46,1),0)&gt;0,TIME(0,20,0)*W46,IF(AND(T46="Pause",Y45&lt;&gt;0),Allgemeines!$E$30,TIME(0,0,0)))))),TIME(0,0,0))</f>
        <v>00:0</v>
      </c>
      <c r="Z46" s="19">
        <f t="shared" si="6"/>
        <v>0.53472222222222188</v>
      </c>
      <c r="AA46" s="18">
        <f t="shared" si="35"/>
        <v>0.53472222222222188</v>
      </c>
      <c r="AB46" s="20" t="str">
        <f>IF(AC46="","",3)</f>
        <v/>
      </c>
      <c r="AC46" s="21" t="str">
        <f>AC40</f>
        <v/>
      </c>
      <c r="AD46" s="21" t="str">
        <f>IF(Allgemeines!$E$20&gt;=3,IF(Allgemeines!$E$39="x","Finale + SE","Finale"),"")</f>
        <v/>
      </c>
      <c r="AE46" s="21" t="str">
        <f>IF(Allgemeines!$E$20&gt;=3,IF(AE40&gt;6,6,AE40),"")</f>
        <v/>
      </c>
      <c r="AF46" s="21" t="b">
        <f>IF(Allgemeines!$E$20&gt;=3,IF(AC46="Pause","",IF(AE46=0,,ROUNDUP(AE46/IFERROR(IF(MATCH(AC46,Hilfstabelle!$A$1:$A$71,0)&gt;=1,IF(MID(AC46,LEN(AC46)-4,1)="D",Allgemeines!$E$23,IF(MID(AC46,LEN(AC46)-4,1)="C",Allgemeines!$E$24,IF(MID(AC46,LEN(AC46)-4,1)="B",Allgemeines!$E$25,IF(MID(AC46,LEN(AC46)-4,1)="A",Allgemeines!$E$26,IF(MID(AC46,LEN(AC46)-4,1)="S",Allgemeines!$E$27,)))))),""),0))))</f>
        <v>0</v>
      </c>
      <c r="AG46" s="21" t="b">
        <f>IF(Allgemeines!$E$20&gt;=3,IFERROR(IF(MATCH(AC46,Hilfstabelle!$A$1:$A$71,0)&gt;=1,IF(MID(AC46,LEN(AC46)-4,1)="D",3,IF(MID(AC46,LEN(AC46)-4,1)="C",4,5))),""))</f>
        <v>0</v>
      </c>
      <c r="AH46" s="22" t="str">
        <f>IFERROR(IF(AND(AH45=0,IF(IFERROR(FIND("Finale",AD46,1),FALSE)=1,FALSE)),0,IF(AND(AC46&lt;&gt;"Pause",AD46&lt;&gt;"Finale",AE46&gt;1),CONCATENATE("00:",AG46*AF46*Allgemeines!$E$33),IF(AND(AC46="Pause",AD45=1,IFERROR(FIND("SE",AD46,1),0)),Allgemeines!$E$36*AF44,IF(IFERROR(FIND("Finale",AD46,1),0)&gt;0,TIME(0,20,0)*AF46,IF(AND(AC46="Pause",AH45&lt;&gt;0),Allgemeines!$E$30,TIME(0,0,0)))))),TIME(0,0,0))</f>
        <v>00:0</v>
      </c>
    </row>
    <row r="47" spans="1:34" x14ac:dyDescent="0.25">
      <c r="A47" s="42">
        <f>Allgemeines!$B$11</f>
        <v>0</v>
      </c>
      <c r="B47" s="43">
        <f>Allgemeines!$C$11-Allgemeines!$B$11</f>
        <v>0</v>
      </c>
      <c r="C47" s="44"/>
      <c r="D47" s="36">
        <f>F46</f>
        <v>0.11805555555555559</v>
      </c>
      <c r="E47" s="11" t="str">
        <f t="shared" si="30"/>
        <v>00:0</v>
      </c>
      <c r="F47" s="30">
        <f>D47+E47</f>
        <v>0.11805555555555559</v>
      </c>
      <c r="G47" s="39"/>
      <c r="H47" s="12">
        <f t="shared" si="11"/>
        <v>0.53472222222222188</v>
      </c>
      <c r="I47" s="13">
        <f>H47+P47</f>
        <v>0.53472222222222188</v>
      </c>
      <c r="J47" s="34" t="str">
        <f>IF(Allgemeines!$E$20&gt;=1,IF(K47="","",1),"")</f>
        <v/>
      </c>
      <c r="K47" s="15" t="str">
        <f>IF(Allgemeines!$E$20&gt;=1,Allgemeines!$D$11,"")</f>
        <v/>
      </c>
      <c r="L47" s="15">
        <v>1</v>
      </c>
      <c r="M47" s="15" t="b">
        <f>IF(Allgemeines!$E$20&gt;=1,Allgemeines!$E$11)</f>
        <v>0</v>
      </c>
      <c r="N47" s="15" t="b">
        <f>IF(Allgemeines!$E$20&gt;=1,IF(K47="Pause","",IF(M47=0,,ROUNDUP(M47/IFERROR(IF(MATCH(K47,Hilfstabelle!$A$1:$A$71,0)&gt;=1,IF(MID(K47,LEN(K47)-4,1)="D",Allgemeines!$E$23,IF(MID(K47,LEN(K47)-4,1)="C",Allgemeines!$E$24,IF(MID(K47,LEN(K47)-4,1)="B",Allgemeines!$E$25,IF(MID(K47,LEN(K47)-4,1)="A",Allgemeines!$E$26,IF(MID(K47,LEN(K47)-4,1)="S",Allgemeines!$E$27,)))))),""),0))))</f>
        <v>0</v>
      </c>
      <c r="O47" s="15" t="b">
        <f>IF(Allgemeines!$E$20&gt;=1,IFERROR(IF(MATCH(K47,Hilfstabelle!$A$1:$A$71,0)&gt;=1,IF(MID(K47,LEN(K47)-4,1)="D",3,IF(MID(K47,LEN(K47)-4,1)="C",4,5))),""))</f>
        <v>0</v>
      </c>
      <c r="P47" s="16" t="str">
        <f>IFERROR(IF(AND(P46=0,IF(IFERROR(FIND("Finale",L47,1),FALSE)=1,FALSE)),0,IF(AND(K47&lt;&gt;"Pause",L47&lt;&gt;"Finale",M47&gt;1),CONCATENATE("00:",O47*N47*Allgemeines!$E$33),IF(AND(K47="Pause",L46=1,IFERROR(FIND("SE",L47,1),0)),Allgemeines!$E$36*N45,IF(IFERROR(FIND("Finale",L47,1),0)&gt;0,TIME(0,20,0)*N47,IF(AND(K47="Pause",P46&lt;&gt;0),Allgemeines!$E$30,TIME(0,0,0)))))),TIME(0,0,0))</f>
        <v>00:0</v>
      </c>
      <c r="Q47" s="12">
        <f t="shared" si="5"/>
        <v>0.53472222222222188</v>
      </c>
      <c r="R47" s="13">
        <f>Q47+Y47</f>
        <v>0.53472222222222188</v>
      </c>
      <c r="S47" s="14" t="b">
        <f>IF(Allgemeines!$E$20&gt;=2,IF(T47="","",2))</f>
        <v>0</v>
      </c>
      <c r="T47" s="15" t="str">
        <f>IF(Allgemeines!$E$20&gt;=2,Allgemeines!$F$11,"")</f>
        <v/>
      </c>
      <c r="U47" s="15">
        <v>1</v>
      </c>
      <c r="V47" s="15" t="b">
        <f>IF(Allgemeines!$E$20&gt;=2,Allgemeines!$G$11)</f>
        <v>0</v>
      </c>
      <c r="W47" s="15" t="b">
        <f>IF(Allgemeines!$E$20&gt;=2,IF(T47="Pause","",IF(V47=0,,ROUNDUP(V47/IFERROR(IF(MATCH(T47,Hilfstabelle!$A$1:$A$71,0)&gt;=1,IF(MID(T47,LEN(T47)-4,1)="D",Allgemeines!$E$23,IF(MID(T47,LEN(T47)-4,1)="C",Allgemeines!$E$24,IF(MID(T47,LEN(T47)-4,1)="B",Allgemeines!$E$25,IF(MID(T47,LEN(T47)-4,1)="A",Allgemeines!$E$26,IF(MID(T47,LEN(T47)-4,1)="S",Allgemeines!$E$27,)))))),""),0))))</f>
        <v>0</v>
      </c>
      <c r="X47" s="15" t="b">
        <f>IF(Allgemeines!$E$20&gt;=2,IFERROR(IF(MATCH(T47,Hilfstabelle!$A$1:$A$71,0)&gt;=1,IF(MID(T47,LEN(T47)-4,1)="D",3,IF(MID(T47,LEN(T47)-4,1)="C",4,5))),""))</f>
        <v>0</v>
      </c>
      <c r="Y47" s="16" t="str">
        <f>IFERROR(IF(AND(Y46=0,IF(IFERROR(FIND("Finale",U47,1),FALSE)=1,FALSE)),0,IF(AND(T47&lt;&gt;"Pause",U47&lt;&gt;"Finale",V47&gt;1),CONCATENATE("00:",X47*W47*Allgemeines!$E$33),IF(AND(T47="Pause",U46=1,IFERROR(FIND("SE",U47,1),0)),Allgemeines!$E$36*W45,IF(IFERROR(FIND("Finale",U47,1),0)&gt;0,TIME(0,20,0)*W47,IF(AND(T47="Pause",Y46&lt;&gt;0),Allgemeines!$E$30,TIME(0,0,0)))))),TIME(0,0,0))</f>
        <v>00:0</v>
      </c>
      <c r="Z47" s="12">
        <f t="shared" si="6"/>
        <v>0.53472222222222188</v>
      </c>
      <c r="AA47" s="13">
        <f>Z47+AH47</f>
        <v>0.53472222222222188</v>
      </c>
      <c r="AB47" s="14" t="b">
        <f>IF(Allgemeines!$E$20&gt;=3,IF(AC47="","",3))</f>
        <v>0</v>
      </c>
      <c r="AC47" s="15" t="str">
        <f>IF(Allgemeines!$E$20&gt;=3,Allgemeines!$H$11,"")</f>
        <v/>
      </c>
      <c r="AD47" s="15">
        <v>1</v>
      </c>
      <c r="AE47" s="15" t="b">
        <f>IF(Allgemeines!$E$20&gt;=3,Allgemeines!$I$11)</f>
        <v>0</v>
      </c>
      <c r="AF47" s="15" t="b">
        <f>IF(Allgemeines!$E$20&gt;=3,IF(AC47="Pause","",IF(AE47=0,,ROUNDUP(AE47/IFERROR(IF(MATCH(AC47,Hilfstabelle!$A$1:$A$71,0)&gt;=1,IF(MID(AC47,LEN(AC47)-4,1)="D",Allgemeines!$E$23,IF(MID(AC47,LEN(AC47)-4,1)="C",Allgemeines!$E$24,IF(MID(AC47,LEN(AC47)-4,1)="B",Allgemeines!$E$25,IF(MID(AC47,LEN(AC47)-4,1)="A",Allgemeines!$E$26,IF(MID(AC47,LEN(AC47)-4,1)="S",Allgemeines!$E$27,)))))),""),0))))</f>
        <v>0</v>
      </c>
      <c r="AG47" s="15" t="b">
        <f>IF(Allgemeines!$E$20&gt;=3,IFERROR(IF(MATCH(AC47,Hilfstabelle!$A$1:$A$71,0)&gt;=1,IF(MID(AC47,LEN(AC47)-4,1)="D",3,IF(MID(AC47,LEN(AC47)-4,1)="C",4,5))),""))</f>
        <v>0</v>
      </c>
      <c r="AH47" s="16" t="str">
        <f>IFERROR(IF(AND(AH46=0,IF(IFERROR(FIND("Finale",AD47,1),FALSE)=1,FALSE)),0,IF(AND(AC47&lt;&gt;"Pause",AD47&lt;&gt;"Finale",AE47&gt;1),CONCATENATE("00:",AG47*AF47*Allgemeines!$E$33),IF(AND(AC47="Pause",AD46=1,IFERROR(FIND("SE",AD47,1),0)),Allgemeines!$E$36*AF45,IF(IFERROR(FIND("Finale",AD47,1),0)&gt;0,TIME(0,20,0)*AF47,IF(AND(AC47="Pause",AH46&lt;&gt;0),Allgemeines!$E$30,TIME(0,0,0)))))),TIME(0,0,0))</f>
        <v>00:0</v>
      </c>
    </row>
    <row r="48" spans="1:34" x14ac:dyDescent="0.25">
      <c r="A48" s="45"/>
      <c r="B48" s="46"/>
      <c r="C48" s="44"/>
      <c r="D48" s="31">
        <f>F47</f>
        <v>0.11805555555555559</v>
      </c>
      <c r="E48" s="10">
        <f t="shared" si="30"/>
        <v>6.9444444444444441E-3</v>
      </c>
      <c r="F48" s="32">
        <f t="shared" ref="F48:F52" si="36">D48+E48</f>
        <v>0.12500000000000003</v>
      </c>
      <c r="G48" s="40"/>
      <c r="H48" s="12">
        <f t="shared" si="11"/>
        <v>0.53472222222222188</v>
      </c>
      <c r="I48" s="13">
        <f>H48+P48</f>
        <v>0.5416666666666663</v>
      </c>
      <c r="J48" s="34"/>
      <c r="K48" s="15" t="s">
        <v>10</v>
      </c>
      <c r="L48" s="15" t="b">
        <f>IF(Allgemeines!$E$20&gt;=1,IF(Allgemeines!$E$40="x",CONCATENATE("SE ",K40),""))</f>
        <v>0</v>
      </c>
      <c r="M48" s="15"/>
      <c r="N48" s="15" t="b">
        <f>IF(Allgemeines!$E$20&gt;=1,IF(K48="Pause","",IF(M48=0,,ROUNDUP(M48/IFERROR(IF(MATCH(K48,Hilfstabelle!$A$1:$A$71,0)&gt;=1,IF(MID(K48,LEN(K48)-4,1)="D",Allgemeines!$E$23,IF(MID(K48,LEN(K48)-4,1)="C",Allgemeines!$E$24,IF(MID(K48,LEN(K48)-4,1)="B",Allgemeines!$E$25,IF(MID(K48,LEN(K48)-4,1)="A",Allgemeines!$E$26,IF(MID(K48,LEN(K48)-4,1)="S",Allgemeines!$E$27,)))))),""),0))))</f>
        <v>0</v>
      </c>
      <c r="O48" s="15" t="b">
        <f>IF(Allgemeines!$E$20&gt;=1,IFERROR(IF(MATCH(K48,Hilfstabelle!$A$1:$A$71,0)&gt;=1,IF(MID(K48,LEN(K48)-4,1)="D",3,IF(MID(K48,LEN(K48)-4,1)="C",4,5))),""))</f>
        <v>0</v>
      </c>
      <c r="P48" s="16">
        <f>IFERROR(IF(AND(P47=0,IF(IFERROR(FIND("Finale",L48,1),FALSE)=1,FALSE)),0,IF(AND(K48&lt;&gt;"Pause",L48&lt;&gt;"Finale",M48&gt;1),CONCATENATE("00:",O48*N48*Allgemeines!$E$33),IF(AND(K48="Pause",L47=1,IFERROR(FIND("SE",L48,1),0)),Allgemeines!$E$36*N46,IF(IFERROR(FIND("Finale",L48,1),0)&gt;0,TIME(0,20,0)*N48,IF(AND(K48="Pause",P47&lt;&gt;0),Allgemeines!$E$30,TIME(0,0,0)))))),TIME(0,0,0))</f>
        <v>6.9444444444444441E-3</v>
      </c>
      <c r="Q48" s="12">
        <f t="shared" si="5"/>
        <v>0.53472222222222188</v>
      </c>
      <c r="R48" s="13">
        <f>Q48+Y48</f>
        <v>0.5416666666666663</v>
      </c>
      <c r="S48" s="14"/>
      <c r="T48" s="15" t="s">
        <v>10</v>
      </c>
      <c r="U48" s="15" t="b">
        <f>IF(Allgemeines!$E$20&gt;=2,IF(Allgemeines!$E$40="x",CONCATENATE("SE ",T40),""))</f>
        <v>0</v>
      </c>
      <c r="V48" s="15"/>
      <c r="W48" s="15" t="b">
        <f>IF(Allgemeines!$E$20&gt;=2,IF(T48="Pause","",IF(V48=0,,ROUNDUP(V48/IFERROR(IF(MATCH(T48,Hilfstabelle!$A$1:$A$71,0)&gt;=1,IF(MID(T48,LEN(T48)-4,1)="D",Allgemeines!$E$23,IF(MID(T48,LEN(T48)-4,1)="C",Allgemeines!$E$24,IF(MID(T48,LEN(T48)-4,1)="B",Allgemeines!$E$25,IF(MID(T48,LEN(T48)-4,1)="A",Allgemeines!$E$26,IF(MID(T48,LEN(T48)-4,1)="S",Allgemeines!$E$27,)))))),""),0))))</f>
        <v>0</v>
      </c>
      <c r="X48" s="15" t="b">
        <f>IF(Allgemeines!$E$20&gt;=2,IFERROR(IF(MATCH(T48,Hilfstabelle!$A$1:$A$71,0)&gt;=1,IF(MID(T48,LEN(T48)-4,1)="D",3,IF(MID(T48,LEN(T48)-4,1)="C",4,5))),""))</f>
        <v>0</v>
      </c>
      <c r="Y48" s="16">
        <f>IFERROR(IF(AND(Y47=0,IF(IFERROR(FIND("Finale",U48,1),FALSE)=1,FALSE)),0,IF(AND(T48&lt;&gt;"Pause",U48&lt;&gt;"Finale",V48&gt;1),CONCATENATE("00:",X48*W48*Allgemeines!$E$33),IF(AND(T48="Pause",U47=1,IFERROR(FIND("SE",U48,1),0)),Allgemeines!$E$36*W46,IF(IFERROR(FIND("Finale",U48,1),0)&gt;0,TIME(0,20,0)*W48,IF(AND(T48="Pause",Y47&lt;&gt;0),Allgemeines!$E$30,TIME(0,0,0)))))),TIME(0,0,0))</f>
        <v>6.9444444444444441E-3</v>
      </c>
      <c r="Z48" s="12">
        <f t="shared" si="6"/>
        <v>0.53472222222222188</v>
      </c>
      <c r="AA48" s="13">
        <f>Z48+AH48</f>
        <v>0.5416666666666663</v>
      </c>
      <c r="AB48" s="14"/>
      <c r="AC48" s="15" t="s">
        <v>10</v>
      </c>
      <c r="AD48" s="15" t="b">
        <f>IF(Allgemeines!$E$20&gt;=3,IF(Allgemeines!$E$40="x",CONCATENATE("SE ",AC40),""))</f>
        <v>0</v>
      </c>
      <c r="AE48" s="15"/>
      <c r="AF48" s="15" t="b">
        <f>IF(Allgemeines!$E$20&gt;=3,IF(AC48="Pause","",IF(AE48=0,,ROUNDUP(AE48/IFERROR(IF(MATCH(AC48,Hilfstabelle!$A$1:$A$71,0)&gt;=1,IF(MID(AC48,LEN(AC48)-4,1)="D",Allgemeines!$E$23,IF(MID(AC48,LEN(AC48)-4,1)="C",Allgemeines!$E$24,IF(MID(AC48,LEN(AC48)-4,1)="B",Allgemeines!$E$25,IF(MID(AC48,LEN(AC48)-4,1)="A",Allgemeines!$E$26,IF(MID(AC48,LEN(AC48)-4,1)="S",Allgemeines!$E$27,)))))),""),0))))</f>
        <v>0</v>
      </c>
      <c r="AG48" s="15" t="b">
        <f>IF(Allgemeines!$E$20&gt;=3,IFERROR(IF(MATCH(AC48,Hilfstabelle!$A$1:$A$71,0)&gt;=1,IF(MID(AC48,LEN(AC48)-4,1)="D",3,IF(MID(AC48,LEN(AC48)-4,1)="C",4,5))),""))</f>
        <v>0</v>
      </c>
      <c r="AH48" s="16">
        <f>IFERROR(IF(AND(AH47=0,IF(IFERROR(FIND("Finale",AD48,1),FALSE)=1,FALSE)),0,IF(AND(AC48&lt;&gt;"Pause",AD48&lt;&gt;"Finale",AE48&gt;1),CONCATENATE("00:",AG48*AF48*Allgemeines!$E$33),IF(AND(AC48="Pause",AD47=1,IFERROR(FIND("SE",AD48,1),0)),Allgemeines!$E$36*AF46,IF(IFERROR(FIND("Finale",AD48,1),0)&gt;0,TIME(0,20,0)*AF48,IF(AND(AC48="Pause",AH47&lt;&gt;0),Allgemeines!$E$30,TIME(0,0,0)))))),TIME(0,0,0))</f>
        <v>6.9444444444444441E-3</v>
      </c>
    </row>
    <row r="49" spans="1:34" x14ac:dyDescent="0.25">
      <c r="A49" s="45"/>
      <c r="B49" s="43"/>
      <c r="C49" s="47"/>
      <c r="D49" s="31">
        <f t="shared" ref="D49:D53" si="37">F48</f>
        <v>0.12500000000000003</v>
      </c>
      <c r="E49" s="10" t="str">
        <f t="shared" si="30"/>
        <v>00:0</v>
      </c>
      <c r="F49" s="32">
        <f t="shared" si="36"/>
        <v>0.12500000000000003</v>
      </c>
      <c r="G49" s="40"/>
      <c r="H49" s="12">
        <f t="shared" si="11"/>
        <v>0.5416666666666663</v>
      </c>
      <c r="I49" s="13">
        <f t="shared" ref="I49:I53" si="38">H49+P49</f>
        <v>0.5416666666666663</v>
      </c>
      <c r="J49" s="34" t="b">
        <f>IF(Allgemeines!$E$20&gt;=1,IF(K49="","",1))</f>
        <v>0</v>
      </c>
      <c r="K49" s="15" t="str">
        <f>K47</f>
        <v/>
      </c>
      <c r="L49" s="15">
        <v>2</v>
      </c>
      <c r="M49" s="15" t="b">
        <f>IF(Allgemeines!$E$20&gt;=1,IF(OR(ROUNDUP((M47/2)/6,0)*6=6,VLOOKUP(M47,Hilfstabelle!$F$2:$G$61,2,FALSE)&lt;=6,K49="Pause"),0,VLOOKUP(M47,Hilfstabelle!$F$2:$G$61,2,FALSE)))</f>
        <v>0</v>
      </c>
      <c r="N49" s="15" t="b">
        <f>IF(Allgemeines!$E$20&gt;=1,IF(K49="Pause","",IF(M49=0,,ROUNDUP(M49/IFERROR(IF(MATCH(K49,Hilfstabelle!$A$1:$A$71,0)&gt;=1,IF(MID(K49,LEN(K49)-4,1)="D",Allgemeines!$E$23,IF(MID(K49,LEN(K49)-4,1)="C",Allgemeines!$E$24,IF(MID(K49,LEN(K49)-4,1)="B",Allgemeines!$E$25,IF(MID(K49,LEN(K49)-4,1)="A",Allgemeines!$E$26,IF(MID(K49,LEN(K49)-4,1)="S",Allgemeines!$E$27,)))))),""),0))))</f>
        <v>0</v>
      </c>
      <c r="O49" s="15" t="b">
        <f>IF(Allgemeines!$E$20&gt;=1,IFERROR(IF(MATCH(K49,Hilfstabelle!$A$1:$A$71,0)&gt;=1,IF(MID(K49,LEN(K49)-4,1)="D",3,IF(MID(K49,LEN(K49)-4,1)="C",4,5))),""))</f>
        <v>0</v>
      </c>
      <c r="P49" s="16" t="str">
        <f>IFERROR(IF(AND(P48=0,IF(IFERROR(FIND("Finale",L49,1),FALSE)=1,FALSE)),0,IF(AND(K49&lt;&gt;"Pause",L49&lt;&gt;"Finale",M49&gt;1),CONCATENATE("00:",O49*N49*Allgemeines!$E$33),IF(AND(K49="Pause",L48=1,IFERROR(FIND("SE",L49,1),0)),Allgemeines!$E$36*N47,IF(IFERROR(FIND("Finale",L49,1),0)&gt;0,TIME(0,20,0)*N49,IF(AND(K49="Pause",P48&lt;&gt;0),Allgemeines!$E$30,TIME(0,0,0)))))),TIME(0,0,0))</f>
        <v>00:0</v>
      </c>
      <c r="Q49" s="12">
        <f t="shared" si="5"/>
        <v>0.5416666666666663</v>
      </c>
      <c r="R49" s="13">
        <f t="shared" ref="R49:R53" si="39">Q49+Y49</f>
        <v>0.5416666666666663</v>
      </c>
      <c r="S49" s="14" t="b">
        <f>IF(Allgemeines!$E$20&gt;=2,IF(T49="","",2))</f>
        <v>0</v>
      </c>
      <c r="T49" s="15" t="str">
        <f>T47</f>
        <v/>
      </c>
      <c r="U49" s="15">
        <v>2</v>
      </c>
      <c r="V49" s="15" t="b">
        <f>IF(Allgemeines!$E$20&gt;=2,IF(OR(ROUNDUP((V47/2)/6,0)*6=6,VLOOKUP(V47,Hilfstabelle!$F$2:$G$61,2,FALSE)&lt;=6,T49="Pause"),0,VLOOKUP(V47,Hilfstabelle!$F$2:$G$61,2,FALSE)))</f>
        <v>0</v>
      </c>
      <c r="W49" s="15" t="b">
        <f>IF(Allgemeines!$E$20&gt;=2,IF(T49="Pause","",IF(V49=0,,ROUNDUP(V49/IFERROR(IF(MATCH(T49,Hilfstabelle!$A$1:$A$71,0)&gt;=1,IF(MID(T49,LEN(T49)-4,1)="D",Allgemeines!$E$23,IF(MID(T49,LEN(T49)-4,1)="C",Allgemeines!$E$24,IF(MID(T49,LEN(T49)-4,1)="B",Allgemeines!$E$25,IF(MID(T49,LEN(T49)-4,1)="A",Allgemeines!$E$26,IF(MID(T49,LEN(T49)-4,1)="S",Allgemeines!$E$27,)))))),""),0))))</f>
        <v>0</v>
      </c>
      <c r="X49" s="15" t="b">
        <f>IF(Allgemeines!$E$20&gt;=2,IFERROR(IF(MATCH(T49,Hilfstabelle!$A$1:$A$71,0)&gt;=1,IF(MID(T49,LEN(T49)-4,1)="D",3,IF(MID(T49,LEN(T49)-4,1)="C",4,5))),""))</f>
        <v>0</v>
      </c>
      <c r="Y49" s="16" t="str">
        <f>IFERROR(IF(AND(Y48=0,IF(IFERROR(FIND("Finale",U49,1),FALSE)=1,FALSE)),0,IF(AND(T49&lt;&gt;"Pause",U49&lt;&gt;"Finale",V49&gt;1),CONCATENATE("00:",X49*W49*Allgemeines!$E$33),IF(AND(T49="Pause",U48=1,IFERROR(FIND("SE",U49,1),0)),Allgemeines!$E$36*W47,IF(IFERROR(FIND("Finale",U49,1),0)&gt;0,TIME(0,20,0)*W49,IF(AND(T49="Pause",Y48&lt;&gt;0),Allgemeines!$E$30,TIME(0,0,0)))))),TIME(0,0,0))</f>
        <v>00:0</v>
      </c>
      <c r="Z49" s="12">
        <f t="shared" si="6"/>
        <v>0.5416666666666663</v>
      </c>
      <c r="AA49" s="13">
        <f t="shared" ref="AA49:AA53" si="40">Z49+AH49</f>
        <v>0.5416666666666663</v>
      </c>
      <c r="AB49" s="14" t="b">
        <f>IF(Allgemeines!$E$20&gt;=3,IF(AC49="","",3))</f>
        <v>0</v>
      </c>
      <c r="AC49" s="15" t="str">
        <f>AC47</f>
        <v/>
      </c>
      <c r="AD49" s="15">
        <v>2</v>
      </c>
      <c r="AE49" s="15" t="b">
        <f>IF(Allgemeines!$E$20&gt;=3,IF(OR(ROUNDUP((AE47/2)/6,0)*6=6,VLOOKUP(AE47,Hilfstabelle!$F$2:$G$61,2,FALSE)&lt;=6,AC49="Pause"),0,VLOOKUP(AE47,Hilfstabelle!$F$2:$G$61,2,FALSE)))</f>
        <v>0</v>
      </c>
      <c r="AF49" s="15" t="b">
        <f>IF(Allgemeines!$E$20&gt;=3,IF(AC49="Pause","",IF(AE49=0,,ROUNDUP(AE49/IFERROR(IF(MATCH(AC49,Hilfstabelle!$A$1:$A$71,0)&gt;=1,IF(MID(AC49,LEN(AC49)-4,1)="D",Allgemeines!$E$23,IF(MID(AC49,LEN(AC49)-4,1)="C",Allgemeines!$E$24,IF(MID(AC49,LEN(AC49)-4,1)="B",Allgemeines!$E$25,IF(MID(AC49,LEN(AC49)-4,1)="A",Allgemeines!$E$26,IF(MID(AC49,LEN(AC49)-4,1)="S",Allgemeines!$E$27,)))))),""),0))))</f>
        <v>0</v>
      </c>
      <c r="AG49" s="15" t="b">
        <f>IF(Allgemeines!$E$20&gt;=3,IFERROR(IF(MATCH(AC49,Hilfstabelle!$A$1:$A$71,0)&gt;=1,IF(MID(AC49,LEN(AC49)-4,1)="D",3,IF(MID(AC49,LEN(AC49)-4,1)="C",4,5))),""))</f>
        <v>0</v>
      </c>
      <c r="AH49" s="16" t="str">
        <f>IFERROR(IF(AND(AH48=0,IF(IFERROR(FIND("Finale",AD49,1),FALSE)=1,FALSE)),0,IF(AND(AC49&lt;&gt;"Pause",AD49&lt;&gt;"Finale",AE49&gt;1),CONCATENATE("00:",AG49*AF49*Allgemeines!$E$33),IF(AND(AC49="Pause",AD48=1,IFERROR(FIND("SE",AD49,1),0)),Allgemeines!$E$36*AF47,IF(IFERROR(FIND("Finale",AD49,1),0)&gt;0,TIME(0,20,0)*AF49,IF(AND(AC49="Pause",AH48&lt;&gt;0),Allgemeines!$E$30,TIME(0,0,0)))))),TIME(0,0,0))</f>
        <v>00:0</v>
      </c>
    </row>
    <row r="50" spans="1:34" x14ac:dyDescent="0.25">
      <c r="A50" s="45"/>
      <c r="B50" s="43"/>
      <c r="C50" s="44"/>
      <c r="D50" s="31">
        <f t="shared" si="37"/>
        <v>0.12500000000000003</v>
      </c>
      <c r="E50" s="10">
        <f t="shared" si="30"/>
        <v>6.9444444444444441E-3</v>
      </c>
      <c r="F50" s="32">
        <f t="shared" si="36"/>
        <v>0.13194444444444448</v>
      </c>
      <c r="G50" s="40"/>
      <c r="H50" s="12">
        <f t="shared" si="11"/>
        <v>0.5416666666666663</v>
      </c>
      <c r="I50" s="13">
        <f t="shared" si="38"/>
        <v>0.54861111111111072</v>
      </c>
      <c r="J50" s="34"/>
      <c r="K50" s="15" t="s">
        <v>10</v>
      </c>
      <c r="L50" s="15"/>
      <c r="M50" s="15"/>
      <c r="N50" s="15" t="b">
        <f>IF(Allgemeines!$E$20&gt;=1,IF(K50="Pause","",IF(M50=0,,ROUNDUP(M50/IFERROR(IF(MATCH(K50,Hilfstabelle!$A$1:$A$71,0)&gt;=1,IF(MID(K50,LEN(K50)-4,1)="D",Allgemeines!$E$23,IF(MID(K50,LEN(K50)-4,1)="C",Allgemeines!$E$24,IF(MID(K50,LEN(K50)-4,1)="B",Allgemeines!$E$25,IF(MID(K50,LEN(K50)-4,1)="A",Allgemeines!$E$26,IF(MID(K50,LEN(K50)-4,1)="S",Allgemeines!$E$27,)))))),""),0))))</f>
        <v>0</v>
      </c>
      <c r="O50" s="15" t="b">
        <f>IF(Allgemeines!$E$20&gt;=1,IFERROR(IF(MATCH(K50,Hilfstabelle!$A$1:$A$71,0)&gt;=1,IF(MID(K50,LEN(K50)-4,1)="D",3,IF(MID(K50,LEN(K50)-4,1)="C",4,5))),""))</f>
        <v>0</v>
      </c>
      <c r="P50" s="16">
        <f>IFERROR(IF(AND(P49=0,IF(IFERROR(FIND("Finale",L50,1),FALSE)=1,FALSE)),0,IF(AND(K50&lt;&gt;"Pause",L50&lt;&gt;"Finale",M50&gt;1),CONCATENATE("00:",O50*N50*Allgemeines!$E$33),IF(AND(K50="Pause",L49=1,IFERROR(FIND("SE",L50,1),0)),Allgemeines!$E$36*N48,IF(IFERROR(FIND("Finale",L50,1),0)&gt;0,TIME(0,20,0)*N50,IF(AND(K50="Pause",P49&lt;&gt;0),Allgemeines!$E$30,TIME(0,0,0)))))),TIME(0,0,0))</f>
        <v>6.9444444444444441E-3</v>
      </c>
      <c r="Q50" s="12">
        <f t="shared" si="5"/>
        <v>0.5416666666666663</v>
      </c>
      <c r="R50" s="13">
        <f t="shared" si="39"/>
        <v>0.54861111111111072</v>
      </c>
      <c r="S50" s="14"/>
      <c r="T50" s="15" t="s">
        <v>10</v>
      </c>
      <c r="U50" s="15"/>
      <c r="V50" s="15"/>
      <c r="W50" s="15" t="b">
        <f>IF(Allgemeines!$E$20&gt;=2,IF(T50="Pause","",IF(V50=0,,ROUNDUP(V50/IFERROR(IF(MATCH(T50,Hilfstabelle!$A$1:$A$71,0)&gt;=1,IF(MID(T50,LEN(T50)-4,1)="D",Allgemeines!$E$23,IF(MID(T50,LEN(T50)-4,1)="C",Allgemeines!$E$24,IF(MID(T50,LEN(T50)-4,1)="B",Allgemeines!$E$25,IF(MID(T50,LEN(T50)-4,1)="A",Allgemeines!$E$26,IF(MID(T50,LEN(T50)-4,1)="S",Allgemeines!$E$27,)))))),""),0))))</f>
        <v>0</v>
      </c>
      <c r="X50" s="15" t="b">
        <f>IF(Allgemeines!$E$20&gt;=2,IFERROR(IF(MATCH(T50,Hilfstabelle!$A$1:$A$71,0)&gt;=1,IF(MID(T50,LEN(T50)-4,1)="D",3,IF(MID(T50,LEN(T50)-4,1)="C",4,5))),""))</f>
        <v>0</v>
      </c>
      <c r="Y50" s="16">
        <f>IFERROR(IF(AND(Y49=0,IF(IFERROR(FIND("Finale",U50,1),FALSE)=1,FALSE)),0,IF(AND(T50&lt;&gt;"Pause",U50&lt;&gt;"Finale",V50&gt;1),CONCATENATE("00:",X50*W50*Allgemeines!$E$33),IF(AND(T50="Pause",U49=1,IFERROR(FIND("SE",U50,1),0)),Allgemeines!$E$36*W48,IF(IFERROR(FIND("Finale",U50,1),0)&gt;0,TIME(0,20,0)*W50,IF(AND(T50="Pause",Y49&lt;&gt;0),Allgemeines!$E$30,TIME(0,0,0)))))),TIME(0,0,0))</f>
        <v>6.9444444444444441E-3</v>
      </c>
      <c r="Z50" s="12">
        <f t="shared" si="6"/>
        <v>0.5416666666666663</v>
      </c>
      <c r="AA50" s="13">
        <f t="shared" si="40"/>
        <v>0.54861111111111072</v>
      </c>
      <c r="AB50" s="14"/>
      <c r="AC50" s="15" t="s">
        <v>10</v>
      </c>
      <c r="AD50" s="15"/>
      <c r="AE50" s="15"/>
      <c r="AF50" s="15" t="b">
        <f>IF(Allgemeines!$E$20&gt;=3,IF(AC50="Pause","",IF(AE50=0,,ROUNDUP(AE50/IFERROR(IF(MATCH(AC50,Hilfstabelle!$A$1:$A$71,0)&gt;=1,IF(MID(AC50,LEN(AC50)-4,1)="D",Allgemeines!$E$23,IF(MID(AC50,LEN(AC50)-4,1)="C",Allgemeines!$E$24,IF(MID(AC50,LEN(AC50)-4,1)="B",Allgemeines!$E$25,IF(MID(AC50,LEN(AC50)-4,1)="A",Allgemeines!$E$26,IF(MID(AC50,LEN(AC50)-4,1)="S",Allgemeines!$E$27,)))))),""),0))))</f>
        <v>0</v>
      </c>
      <c r="AG50" s="15" t="b">
        <f>IF(Allgemeines!$E$20&gt;=3,IFERROR(IF(MATCH(AC50,Hilfstabelle!$A$1:$A$71,0)&gt;=1,IF(MID(AC50,LEN(AC50)-4,1)="D",3,IF(MID(AC50,LEN(AC50)-4,1)="C",4,5))),""))</f>
        <v>0</v>
      </c>
      <c r="AH50" s="16">
        <f>IFERROR(IF(AND(AH49=0,IF(IFERROR(FIND("Finale",AD50,1),FALSE)=1,FALSE)),0,IF(AND(AC50&lt;&gt;"Pause",AD50&lt;&gt;"Finale",AE50&gt;1),CONCATENATE("00:",AG50*AF50*Allgemeines!$E$33),IF(AND(AC50="Pause",AD49=1,IFERROR(FIND("SE",AD50,1),0)),Allgemeines!$E$36*AF48,IF(IFERROR(FIND("Finale",AD50,1),0)&gt;0,TIME(0,20,0)*AF50,IF(AND(AC50="Pause",AH49&lt;&gt;0),Allgemeines!$E$30,TIME(0,0,0)))))),TIME(0,0,0))</f>
        <v>6.9444444444444441E-3</v>
      </c>
    </row>
    <row r="51" spans="1:34" x14ac:dyDescent="0.25">
      <c r="A51" s="45"/>
      <c r="B51" s="43"/>
      <c r="C51" s="44"/>
      <c r="D51" s="31">
        <f t="shared" si="37"/>
        <v>0.13194444444444448</v>
      </c>
      <c r="E51" s="10" t="str">
        <f t="shared" si="30"/>
        <v>00:0</v>
      </c>
      <c r="F51" s="32">
        <f t="shared" si="36"/>
        <v>0.13194444444444448</v>
      </c>
      <c r="G51" s="40"/>
      <c r="H51" s="12">
        <f t="shared" si="11"/>
        <v>0.54861111111111072</v>
      </c>
      <c r="I51" s="13">
        <f t="shared" si="38"/>
        <v>0.54861111111111072</v>
      </c>
      <c r="J51" s="34" t="b">
        <f>IF(Allgemeines!$E$20&gt;=1,IF(K51="","",1))</f>
        <v>0</v>
      </c>
      <c r="K51" s="15" t="str">
        <f>K47</f>
        <v/>
      </c>
      <c r="L51" s="15">
        <v>3</v>
      </c>
      <c r="M51" s="15" t="b">
        <f>IF(Allgemeines!$E$20&gt;=1,IFERROR(IF(OR(ROUNDUP((M49/2)/6,0)*6=6,VLOOKUP(M49,Hilfstabelle!$F$2:$G$61,2,FALSE)&lt;6,K51="Pause"),0,VLOOKUP(M49,Hilfstabelle!$F$2:$G$61,2,FALSE)),0))</f>
        <v>0</v>
      </c>
      <c r="N51" s="15" t="b">
        <f>IF(Allgemeines!$E$20&gt;=1,IF(K51="Pause","",IF(M51=0,,ROUNDUP(M51/IFERROR(IF(MATCH(K51,Hilfstabelle!$A$1:$A$71,0)&gt;=1,IF(MID(K51,LEN(K51)-4,1)="D",Allgemeines!$E$23,IF(MID(K51,LEN(K51)-4,1)="C",Allgemeines!$E$24,IF(MID(K51,LEN(K51)-4,1)="B",Allgemeines!$E$25,IF(MID(K51,LEN(K51)-4,1)="A",Allgemeines!$E$26,IF(MID(K51,LEN(K51)-4,1)="S",Allgemeines!$E$27,)))))),""),0))))</f>
        <v>0</v>
      </c>
      <c r="O51" s="15" t="b">
        <f>IF(Allgemeines!$E$20&gt;=1,IFERROR(IF(MATCH(K51,Hilfstabelle!$A$1:$A$71,0)&gt;=1,IF(MID(K51,LEN(K51)-4,1)="D",3,IF(MID(K51,LEN(K51)-4,1)="C",4,5))),""))</f>
        <v>0</v>
      </c>
      <c r="P51" s="16" t="str">
        <f>IFERROR(IF(AND(P50=0,IF(IFERROR(FIND("Finale",L51,1),FALSE)=1,FALSE)),0,IF(AND(K51&lt;&gt;"Pause",L51&lt;&gt;"Finale",M51&gt;1),CONCATENATE("00:",O51*N51*Allgemeines!$E$33),IF(AND(K51="Pause",L50=1,IFERROR(FIND("SE",L51,1),0)),Allgemeines!$E$36*N49,IF(IFERROR(FIND("Finale",L51,1),0)&gt;0,TIME(0,20,0)*N51,IF(AND(K51="Pause",P50&lt;&gt;0),Allgemeines!$E$30,TIME(0,0,0)))))),TIME(0,0,0))</f>
        <v>00:0</v>
      </c>
      <c r="Q51" s="12">
        <f t="shared" si="5"/>
        <v>0.54861111111111072</v>
      </c>
      <c r="R51" s="13">
        <f t="shared" si="39"/>
        <v>0.54861111111111072</v>
      </c>
      <c r="S51" s="14" t="b">
        <f>IF(Allgemeines!$E$20&gt;=2,IF(T51="","",2))</f>
        <v>0</v>
      </c>
      <c r="T51" s="15" t="str">
        <f>T47</f>
        <v/>
      </c>
      <c r="U51" s="15">
        <v>3</v>
      </c>
      <c r="V51" s="15" t="str">
        <f>IF(Allgemeines!$E$20&gt;=2,IFERROR(IF(OR(ROUNDUP((V49/2)/6,0)*6=6,VLOOKUP(V49,Hilfstabelle!$F$2:$G$61,2,FALSE)&lt;6,T51="Pause"),0,VLOOKUP(V49,Hilfstabelle!$F$2:$G$61,2,FALSE)),0),"")</f>
        <v/>
      </c>
      <c r="W51" s="15" t="b">
        <f>IF(Allgemeines!$E$20&gt;=2,IF(T51="Pause","",IF(V51=0,,ROUNDUP(V51/IFERROR(IF(MATCH(T51,Hilfstabelle!$A$1:$A$71,0)&gt;=1,IF(MID(T51,LEN(T51)-4,1)="D",Allgemeines!$E$23,IF(MID(T51,LEN(T51)-4,1)="C",Allgemeines!$E$24,IF(MID(T51,LEN(T51)-4,1)="B",Allgemeines!$E$25,IF(MID(T51,LEN(T51)-4,1)="A",Allgemeines!$E$26,IF(MID(T51,LEN(T51)-4,1)="S",Allgemeines!$E$27,)))))),""),0))))</f>
        <v>0</v>
      </c>
      <c r="X51" s="15" t="b">
        <f>IF(Allgemeines!$E$20&gt;=2,IFERROR(IF(MATCH(T51,Hilfstabelle!$A$1:$A$71,0)&gt;=1,IF(MID(T51,LEN(T51)-4,1)="D",3,IF(MID(T51,LEN(T51)-4,1)="C",4,5))),""))</f>
        <v>0</v>
      </c>
      <c r="Y51" s="16" t="str">
        <f>IFERROR(IF(AND(Y50=0,IF(IFERROR(FIND("Finale",U51,1),FALSE)=1,FALSE)),0,IF(AND(T51&lt;&gt;"Pause",U51&lt;&gt;"Finale",V51&gt;1),CONCATENATE("00:",X51*W51*Allgemeines!$E$33),IF(AND(T51="Pause",U50=1,IFERROR(FIND("SE",U51,1),0)),Allgemeines!$E$36*W49,IF(IFERROR(FIND("Finale",U51,1),0)&gt;0,TIME(0,20,0)*W51,IF(AND(T51="Pause",Y50&lt;&gt;0),Allgemeines!$E$30,TIME(0,0,0)))))),TIME(0,0,0))</f>
        <v>00:0</v>
      </c>
      <c r="Z51" s="12">
        <f t="shared" si="6"/>
        <v>0.54861111111111072</v>
      </c>
      <c r="AA51" s="13">
        <f t="shared" si="40"/>
        <v>0.54861111111111072</v>
      </c>
      <c r="AB51" s="14" t="b">
        <f>IF(Allgemeines!$E$20&gt;=3,IF(AC51="","",3))</f>
        <v>0</v>
      </c>
      <c r="AC51" s="15" t="str">
        <f>AC47</f>
        <v/>
      </c>
      <c r="AD51" s="15">
        <v>3</v>
      </c>
      <c r="AE51" s="15" t="str">
        <f>IF(Allgemeines!$E$20&gt;=3,IFERROR(IF(OR(ROUNDUP((AE49/2)/6,0)*6=6,VLOOKUP(AE49,Hilfstabelle!$F$2:$G$61,2,FALSE)&lt;6,AC51="Pause"),0,VLOOKUP(AE49,Hilfstabelle!$F$2:$G$61,2,FALSE)),0),"")</f>
        <v/>
      </c>
      <c r="AF51" s="15" t="b">
        <f>IF(Allgemeines!$E$20&gt;=3,IF(AC51="Pause","",IF(AE51=0,,ROUNDUP(AE51/IFERROR(IF(MATCH(AC51,Hilfstabelle!$A$1:$A$71,0)&gt;=1,IF(MID(AC51,LEN(AC51)-4,1)="D",Allgemeines!$E$23,IF(MID(AC51,LEN(AC51)-4,1)="C",Allgemeines!$E$24,IF(MID(AC51,LEN(AC51)-4,1)="B",Allgemeines!$E$25,IF(MID(AC51,LEN(AC51)-4,1)="A",Allgemeines!$E$26,IF(MID(AC51,LEN(AC51)-4,1)="S",Allgemeines!$E$27,)))))),""),0))))</f>
        <v>0</v>
      </c>
      <c r="AG51" s="15" t="b">
        <f>IF(Allgemeines!$E$20&gt;=3,IFERROR(IF(MATCH(AC51,Hilfstabelle!$A$1:$A$71,0)&gt;=1,IF(MID(AC51,LEN(AC51)-4,1)="D",3,IF(MID(AC51,LEN(AC51)-4,1)="C",4,5))),""))</f>
        <v>0</v>
      </c>
      <c r="AH51" s="16" t="str">
        <f>IFERROR(IF(AND(AH50=0,IF(IFERROR(FIND("Finale",AD51,1),FALSE)=1,FALSE)),0,IF(AND(AC51&lt;&gt;"Pause",AD51&lt;&gt;"Finale",AE51&gt;1),CONCATENATE("00:",AG51*AF51*Allgemeines!$E$33),IF(AND(AC51="Pause",AD50=1,IFERROR(FIND("SE",AD51,1),0)),Allgemeines!$E$36*AF49,IF(IFERROR(FIND("Finale",AD51,1),0)&gt;0,TIME(0,20,0)*AF51,IF(AND(AC51="Pause",AH50&lt;&gt;0),Allgemeines!$E$30,TIME(0,0,0)))))),TIME(0,0,0))</f>
        <v>00:0</v>
      </c>
    </row>
    <row r="52" spans="1:34" x14ac:dyDescent="0.25">
      <c r="A52" s="45"/>
      <c r="B52" s="43"/>
      <c r="C52" s="44"/>
      <c r="D52" s="31">
        <f t="shared" si="37"/>
        <v>0.13194444444444448</v>
      </c>
      <c r="E52" s="10">
        <f t="shared" si="30"/>
        <v>6.9444444444444441E-3</v>
      </c>
      <c r="F52" s="32">
        <f t="shared" si="36"/>
        <v>0.13888888888888892</v>
      </c>
      <c r="G52" s="40"/>
      <c r="H52" s="12">
        <f t="shared" si="11"/>
        <v>0.54861111111111072</v>
      </c>
      <c r="I52" s="13">
        <f t="shared" si="38"/>
        <v>0.55555555555555514</v>
      </c>
      <c r="J52" s="34"/>
      <c r="K52" s="15" t="s">
        <v>10</v>
      </c>
      <c r="L52" s="15"/>
      <c r="M52" s="15"/>
      <c r="N52" s="15" t="b">
        <f>IF(Allgemeines!$E$20&gt;=1,IF(K52="Pause","",IF(M52=0,,ROUNDUP(M52/IFERROR(IF(MATCH(K52,Hilfstabelle!$A$1:$A$71,0)&gt;=1,IF(MID(K52,LEN(K52)-4,1)="D",Allgemeines!$E$23,IF(MID(K52,LEN(K52)-4,1)="C",Allgemeines!$E$24,IF(MID(K52,LEN(K52)-4,1)="B",Allgemeines!$E$25,IF(MID(K52,LEN(K52)-4,1)="A",Allgemeines!$E$26,IF(MID(K52,LEN(K52)-4,1)="S",Allgemeines!$E$27,)))))),""),0))))</f>
        <v>0</v>
      </c>
      <c r="O52" s="15" t="b">
        <f>IF(Allgemeines!$E$20&gt;=1,IFERROR(IF(MATCH(K52,Hilfstabelle!$A$1:$A$71,0)&gt;=1,IF(MID(K52,LEN(K52)-4,1)="D",3,IF(MID(K52,LEN(K52)-4,1)="C",4,5))),""))</f>
        <v>0</v>
      </c>
      <c r="P52" s="16">
        <f>IFERROR(IF(AND(P51=0,IF(IFERROR(FIND("Finale",L52,1),FALSE)=1,FALSE)),0,IF(AND(K52&lt;&gt;"Pause",L52&lt;&gt;"Finale",M52&gt;1),CONCATENATE("00:",O52*N52*Allgemeines!$E$33),IF(AND(K52="Pause",L51=1,IFERROR(FIND("SE",L52,1),0)),Allgemeines!$E$36*N50,IF(IFERROR(FIND("Finale",L52,1),0)&gt;0,TIME(0,20,0)*N52,IF(AND(K52="Pause",P51&lt;&gt;0),Allgemeines!$E$30,TIME(0,0,0)))))),TIME(0,0,0))</f>
        <v>6.9444444444444441E-3</v>
      </c>
      <c r="Q52" s="12">
        <f t="shared" si="5"/>
        <v>0.54861111111111072</v>
      </c>
      <c r="R52" s="13">
        <f t="shared" si="39"/>
        <v>0.55555555555555514</v>
      </c>
      <c r="S52" s="14"/>
      <c r="T52" s="15" t="s">
        <v>10</v>
      </c>
      <c r="U52" s="15"/>
      <c r="V52" s="15"/>
      <c r="W52" s="15" t="b">
        <f>IF(Allgemeines!$E$20&gt;=2,IF(T52="Pause","",IF(V52=0,,ROUNDUP(V52/IFERROR(IF(MATCH(T52,Hilfstabelle!$A$1:$A$71,0)&gt;=1,IF(MID(T52,LEN(T52)-4,1)="D",Allgemeines!$E$23,IF(MID(T52,LEN(T52)-4,1)="C",Allgemeines!$E$24,IF(MID(T52,LEN(T52)-4,1)="B",Allgemeines!$E$25,IF(MID(T52,LEN(T52)-4,1)="A",Allgemeines!$E$26,IF(MID(T52,LEN(T52)-4,1)="S",Allgemeines!$E$27,)))))),""),0))))</f>
        <v>0</v>
      </c>
      <c r="X52" s="15" t="b">
        <f>IF(Allgemeines!$E$20&gt;=2,IFERROR(IF(MATCH(T52,Hilfstabelle!$A$1:$A$71,0)&gt;=1,IF(MID(T52,LEN(T52)-4,1)="D",3,IF(MID(T52,LEN(T52)-4,1)="C",4,5))),""))</f>
        <v>0</v>
      </c>
      <c r="Y52" s="16">
        <f>IFERROR(IF(AND(Y51=0,IF(IFERROR(FIND("Finale",U52,1),FALSE)=1,FALSE)),0,IF(AND(T52&lt;&gt;"Pause",U52&lt;&gt;"Finale",V52&gt;1),CONCATENATE("00:",X52*W52*Allgemeines!$E$33),IF(AND(T52="Pause",U51=1,IFERROR(FIND("SE",U52,1),0)),Allgemeines!$E$36*W50,IF(IFERROR(FIND("Finale",U52,1),0)&gt;0,TIME(0,20,0)*W52,IF(AND(T52="Pause",Y51&lt;&gt;0),Allgemeines!$E$30,TIME(0,0,0)))))),TIME(0,0,0))</f>
        <v>6.9444444444444441E-3</v>
      </c>
      <c r="Z52" s="12">
        <f t="shared" si="6"/>
        <v>0.54861111111111072</v>
      </c>
      <c r="AA52" s="13">
        <f t="shared" si="40"/>
        <v>0.55555555555555514</v>
      </c>
      <c r="AB52" s="14"/>
      <c r="AC52" s="15" t="s">
        <v>10</v>
      </c>
      <c r="AD52" s="15"/>
      <c r="AE52" s="15"/>
      <c r="AF52" s="15" t="b">
        <f>IF(Allgemeines!$E$20&gt;=3,IF(AC52="Pause","",IF(AE52=0,,ROUNDUP(AE52/IFERROR(IF(MATCH(AC52,Hilfstabelle!$A$1:$A$71,0)&gt;=1,IF(MID(AC52,LEN(AC52)-4,1)="D",Allgemeines!$E$23,IF(MID(AC52,LEN(AC52)-4,1)="C",Allgemeines!$E$24,IF(MID(AC52,LEN(AC52)-4,1)="B",Allgemeines!$E$25,IF(MID(AC52,LEN(AC52)-4,1)="A",Allgemeines!$E$26,IF(MID(AC52,LEN(AC52)-4,1)="S",Allgemeines!$E$27,)))))),""),0))))</f>
        <v>0</v>
      </c>
      <c r="AG52" s="15" t="b">
        <f>IF(Allgemeines!$E$20&gt;=3,IFERROR(IF(MATCH(AC52,Hilfstabelle!$A$1:$A$71,0)&gt;=1,IF(MID(AC52,LEN(AC52)-4,1)="D",3,IF(MID(AC52,LEN(AC52)-4,1)="C",4,5))),""))</f>
        <v>0</v>
      </c>
      <c r="AH52" s="16">
        <f>IFERROR(IF(AND(AH51=0,IF(IFERROR(FIND("Finale",AD52,1),FALSE)=1,FALSE)),0,IF(AND(AC52&lt;&gt;"Pause",AD52&lt;&gt;"Finale",AE52&gt;1),CONCATENATE("00:",AG52*AF52*Allgemeines!$E$33),IF(AND(AC52="Pause",AD51=1,IFERROR(FIND("SE",AD52,1),0)),Allgemeines!$E$36*AF50,IF(IFERROR(FIND("Finale",AD52,1),0)&gt;0,TIME(0,20,0)*AF52,IF(AND(AC52="Pause",AH51&lt;&gt;0),Allgemeines!$E$30,TIME(0,0,0)))))),TIME(0,0,0))</f>
        <v>6.9444444444444441E-3</v>
      </c>
    </row>
    <row r="53" spans="1:34" x14ac:dyDescent="0.25">
      <c r="A53" s="48"/>
      <c r="B53" s="49"/>
      <c r="C53" s="50">
        <f>A47+B47</f>
        <v>0</v>
      </c>
      <c r="D53" s="19">
        <f t="shared" si="37"/>
        <v>0.13888888888888892</v>
      </c>
      <c r="E53" s="17" t="str">
        <f t="shared" si="30"/>
        <v>00:0</v>
      </c>
      <c r="F53" s="37">
        <f>D53+E53</f>
        <v>0.13888888888888892</v>
      </c>
      <c r="G53" s="41">
        <f>F53-D47</f>
        <v>2.0833333333333329E-2</v>
      </c>
      <c r="H53" s="19">
        <f t="shared" si="11"/>
        <v>0.55555555555555514</v>
      </c>
      <c r="I53" s="33">
        <f t="shared" si="38"/>
        <v>0.55555555555555514</v>
      </c>
      <c r="J53" s="35" t="str">
        <f>IF(K53="","",1)</f>
        <v/>
      </c>
      <c r="K53" s="21" t="str">
        <f>K47</f>
        <v/>
      </c>
      <c r="L53" s="21" t="str">
        <f>IF(Allgemeines!$E$20&gt;=1,IF(Allgemeines!$E$39="x","Finale + SE","Finale"),"")</f>
        <v/>
      </c>
      <c r="M53" s="21" t="b">
        <f>IF(Allgemeines!$E$20&gt;=1,IF(M47&gt;6,6,M47))</f>
        <v>0</v>
      </c>
      <c r="N53" s="21" t="b">
        <f>IF(Allgemeines!$E$20&gt;=1,IF(K53="Pause","",IF(M53=0,,ROUNDUP(M53/IFERROR(IF(MATCH(K53,Hilfstabelle!$A$1:$A$71,0)&gt;=1,IF(MID(K53,LEN(K53)-4,1)="D",Allgemeines!$E$23,IF(MID(K53,LEN(K53)-4,1)="C",Allgemeines!$E$24,IF(MID(K53,LEN(K53)-4,1)="B",Allgemeines!$E$25,IF(MID(K53,LEN(K53)-4,1)="A",Allgemeines!$E$26,IF(MID(K53,LEN(K53)-4,1)="S",Allgemeines!$E$27,)))))),""),0))))</f>
        <v>0</v>
      </c>
      <c r="O53" s="21" t="b">
        <f>IF(Allgemeines!$E$20&gt;=1,IFERROR(IF(MATCH(K53,Hilfstabelle!$A$1:$A$71,0)&gt;=1,IF(MID(K53,LEN(K53)-4,1)="D",3,IF(MID(K53,LEN(K53)-4,1)="C",4,5))),""))</f>
        <v>0</v>
      </c>
      <c r="P53" s="22" t="str">
        <f>IFERROR(IF(AND(P52=0,IF(IFERROR(FIND("Finale",L53,1),FALSE)=1,FALSE)),0,IF(AND(K53&lt;&gt;"Pause",L53&lt;&gt;"Finale",M53&gt;1),CONCATENATE("00:",O53*N53*Allgemeines!$E$33),IF(AND(K53="Pause",L52=1,IFERROR(FIND("SE",L53,1),0)),Allgemeines!$E$36*N51,IF(IFERROR(FIND("Finale",L53,1),0)&gt;0,TIME(0,20,0)*N53,IF(AND(K53="Pause",P52&lt;&gt;0),Allgemeines!$E$30,TIME(0,0,0)))))),TIME(0,0,0))</f>
        <v>00:0</v>
      </c>
      <c r="Q53" s="19">
        <f t="shared" si="5"/>
        <v>0.55555555555555514</v>
      </c>
      <c r="R53" s="18">
        <f t="shared" si="39"/>
        <v>0.55555555555555514</v>
      </c>
      <c r="S53" s="20" t="str">
        <f>IF(T53="","",2)</f>
        <v/>
      </c>
      <c r="T53" s="21" t="str">
        <f>T47</f>
        <v/>
      </c>
      <c r="U53" s="21" t="str">
        <f>IF(Allgemeines!$E$20&gt;=2,IF(Allgemeines!$E$39="x","Finale + SE","Finale"),"")</f>
        <v/>
      </c>
      <c r="V53" s="21" t="str">
        <f>IF(Allgemeines!$E$20&gt;=2,IF(V47&gt;6,6,V47),"")</f>
        <v/>
      </c>
      <c r="W53" s="21" t="b">
        <f>IF(Allgemeines!$E$20&gt;=2,IF(T53="Pause","",IF(V53=0,,ROUNDUP(V53/IFERROR(IF(MATCH(T53,Hilfstabelle!$A$1:$A$71,0)&gt;=1,IF(MID(T53,LEN(T53)-4,1)="D",Allgemeines!$E$23,IF(MID(T53,LEN(T53)-4,1)="C",Allgemeines!$E$24,IF(MID(T53,LEN(T53)-4,1)="B",Allgemeines!$E$25,IF(MID(T53,LEN(T53)-4,1)="A",Allgemeines!$E$26,IF(MID(T53,LEN(T53)-4,1)="S",Allgemeines!$E$27,)))))),""),0))))</f>
        <v>0</v>
      </c>
      <c r="X53" s="21" t="b">
        <f>IF(Allgemeines!$E$20&gt;=2,IFERROR(IF(MATCH(T53,Hilfstabelle!$A$1:$A$71,0)&gt;=1,IF(MID(T53,LEN(T53)-4,1)="D",3,IF(MID(T53,LEN(T53)-4,1)="C",4,5))),""))</f>
        <v>0</v>
      </c>
      <c r="Y53" s="22" t="str">
        <f>IFERROR(IF(AND(Y52=0,IF(IFERROR(FIND("Finale",U53,1),FALSE)=1,FALSE)),0,IF(AND(T53&lt;&gt;"Pause",U53&lt;&gt;"Finale",V53&gt;1),CONCATENATE("00:",X53*W53*Allgemeines!$E$33),IF(AND(T53="Pause",U52=1,IFERROR(FIND("SE",U53,1),0)),Allgemeines!$E$36*W51,IF(IFERROR(FIND("Finale",U53,1),0)&gt;0,TIME(0,20,0)*W53,IF(AND(T53="Pause",Y52&lt;&gt;0),Allgemeines!$E$30,TIME(0,0,0)))))),TIME(0,0,0))</f>
        <v>00:0</v>
      </c>
      <c r="Z53" s="19">
        <f t="shared" si="6"/>
        <v>0.55555555555555514</v>
      </c>
      <c r="AA53" s="18">
        <f t="shared" si="40"/>
        <v>0.55555555555555514</v>
      </c>
      <c r="AB53" s="20" t="str">
        <f>IF(AC53="","",3)</f>
        <v/>
      </c>
      <c r="AC53" s="21" t="str">
        <f>AC47</f>
        <v/>
      </c>
      <c r="AD53" s="21" t="str">
        <f>IF(Allgemeines!$E$20&gt;=3,IF(Allgemeines!$E$39="x","Finale + SE","Finale"),"")</f>
        <v/>
      </c>
      <c r="AE53" s="21" t="str">
        <f>IF(Allgemeines!$E$20&gt;=3,IF(AE47&gt;6,6,AE47),"")</f>
        <v/>
      </c>
      <c r="AF53" s="21" t="b">
        <f>IF(Allgemeines!$E$20&gt;=3,IF(AC53="Pause","",IF(AE53=0,,ROUNDUP(AE53/IFERROR(IF(MATCH(AC53,Hilfstabelle!$A$1:$A$71,0)&gt;=1,IF(MID(AC53,LEN(AC53)-4,1)="D",Allgemeines!$E$23,IF(MID(AC53,LEN(AC53)-4,1)="C",Allgemeines!$E$24,IF(MID(AC53,LEN(AC53)-4,1)="B",Allgemeines!$E$25,IF(MID(AC53,LEN(AC53)-4,1)="A",Allgemeines!$E$26,IF(MID(AC53,LEN(AC53)-4,1)="S",Allgemeines!$E$27,)))))),""),0))))</f>
        <v>0</v>
      </c>
      <c r="AG53" s="21" t="b">
        <f>IF(Allgemeines!$E$20&gt;=3,IFERROR(IF(MATCH(AC53,Hilfstabelle!$A$1:$A$71,0)&gt;=1,IF(MID(AC53,LEN(AC53)-4,1)="D",3,IF(MID(AC53,LEN(AC53)-4,1)="C",4,5))),""))</f>
        <v>0</v>
      </c>
      <c r="AH53" s="22" t="str">
        <f>IFERROR(IF(AND(AH52=0,IF(IFERROR(FIND("Finale",AD53,1),FALSE)=1,FALSE)),0,IF(AND(AC53&lt;&gt;"Pause",AD53&lt;&gt;"Finale",AE53&gt;1),CONCATENATE("00:",AG53*AF53*Allgemeines!$E$33),IF(AND(AC53="Pause",AD52=1,IFERROR(FIND("SE",AD53,1),0)),Allgemeines!$E$36*AF51,IF(IFERROR(FIND("Finale",AD53,1),0)&gt;0,TIME(0,20,0)*AF53,IF(AND(AC53="Pause",AH52&lt;&gt;0),Allgemeines!$E$30,TIME(0,0,0)))))),TIME(0,0,0))</f>
        <v>00:0</v>
      </c>
    </row>
    <row r="54" spans="1:34" x14ac:dyDescent="0.25">
      <c r="A54" s="42">
        <f>Allgemeines!$B$12</f>
        <v>0</v>
      </c>
      <c r="B54" s="43">
        <f>Allgemeines!$C$12-Allgemeines!$B$12</f>
        <v>0</v>
      </c>
      <c r="C54" s="44"/>
      <c r="D54" s="36">
        <f>F53</f>
        <v>0.13888888888888892</v>
      </c>
      <c r="E54" s="11" t="str">
        <f t="shared" si="30"/>
        <v>00:0</v>
      </c>
      <c r="F54" s="30">
        <f>D54+E54</f>
        <v>0.13888888888888892</v>
      </c>
      <c r="G54" s="39"/>
      <c r="H54" s="12">
        <f t="shared" si="11"/>
        <v>0.55555555555555514</v>
      </c>
      <c r="I54" s="13">
        <f>H54+P54</f>
        <v>0.55555555555555514</v>
      </c>
      <c r="J54" s="34" t="str">
        <f>IF(Allgemeines!$E$20&gt;=1,IF(K54="","",1),"")</f>
        <v/>
      </c>
      <c r="K54" s="15" t="str">
        <f>IF(Allgemeines!$E$20&gt;=1,Allgemeines!$D$12,"")</f>
        <v/>
      </c>
      <c r="L54" s="15">
        <v>1</v>
      </c>
      <c r="M54" s="15" t="b">
        <f>IF(Allgemeines!$E$20&gt;=1,Allgemeines!$E$12)</f>
        <v>0</v>
      </c>
      <c r="N54" s="15" t="b">
        <f>IF(Allgemeines!$E$20&gt;=1,IF(K54="Pause","",IF(M54=0,,ROUNDUP(M54/IFERROR(IF(MATCH(K54,Hilfstabelle!$A$1:$A$71,0)&gt;=1,IF(MID(K54,LEN(K54)-4,1)="D",Allgemeines!$E$23,IF(MID(K54,LEN(K54)-4,1)="C",Allgemeines!$E$24,IF(MID(K54,LEN(K54)-4,1)="B",Allgemeines!$E$25,IF(MID(K54,LEN(K54)-4,1)="A",Allgemeines!$E$26,IF(MID(K54,LEN(K54)-4,1)="S",Allgemeines!$E$27,)))))),""),0))))</f>
        <v>0</v>
      </c>
      <c r="O54" s="15" t="b">
        <f>IF(Allgemeines!$E$20&gt;=1,IFERROR(IF(MATCH(K54,Hilfstabelle!$A$1:$A$71,0)&gt;=1,IF(MID(K54,LEN(K54)-4,1)="D",3,IF(MID(K54,LEN(K54)-4,1)="C",4,5))),""))</f>
        <v>0</v>
      </c>
      <c r="P54" s="16" t="str">
        <f>IFERROR(IF(AND(P53=0,IF(IFERROR(FIND("Finale",L54,1),FALSE)=1,FALSE)),0,IF(AND(K54&lt;&gt;"Pause",L54&lt;&gt;"Finale",M54&gt;1),CONCATENATE("00:",O54*N54*Allgemeines!$E$33),IF(AND(K54="Pause",L53=1,IFERROR(FIND("SE",L54,1),0)),Allgemeines!$E$36*N52,IF(IFERROR(FIND("Finale",L54,1),0)&gt;0,TIME(0,20,0)*N54,IF(AND(K54="Pause",P53&lt;&gt;0),Allgemeines!$E$30,TIME(0,0,0)))))),TIME(0,0,0))</f>
        <v>00:0</v>
      </c>
      <c r="Q54" s="12">
        <f t="shared" si="5"/>
        <v>0.55555555555555514</v>
      </c>
      <c r="R54" s="13">
        <f>Q54+Y54</f>
        <v>0.55555555555555514</v>
      </c>
      <c r="S54" s="14" t="b">
        <f>IF(Allgemeines!$E$20&gt;=2,IF(T54="","",2))</f>
        <v>0</v>
      </c>
      <c r="T54" s="15" t="str">
        <f>IF(Allgemeines!$E$20&gt;=2,Allgemeines!$F$12,"")</f>
        <v/>
      </c>
      <c r="U54" s="15">
        <v>1</v>
      </c>
      <c r="V54" s="15" t="b">
        <f>IF(Allgemeines!$E$20&gt;=2,Allgemeines!$G$12)</f>
        <v>0</v>
      </c>
      <c r="W54" s="15" t="b">
        <f>IF(Allgemeines!$E$20&gt;=2,IF(T54="Pause","",IF(V54=0,,ROUNDUP(V54/IFERROR(IF(MATCH(T54,Hilfstabelle!$A$1:$A$71,0)&gt;=1,IF(MID(T54,LEN(T54)-4,1)="D",Allgemeines!$E$23,IF(MID(T54,LEN(T54)-4,1)="C",Allgemeines!$E$24,IF(MID(T54,LEN(T54)-4,1)="B",Allgemeines!$E$25,IF(MID(T54,LEN(T54)-4,1)="A",Allgemeines!$E$26,IF(MID(T54,LEN(T54)-4,1)="S",Allgemeines!$E$27,)))))),""),0))))</f>
        <v>0</v>
      </c>
      <c r="X54" s="15" t="b">
        <f>IF(Allgemeines!$E$20&gt;=2,IFERROR(IF(MATCH(T54,Hilfstabelle!$A$1:$A$71,0)&gt;=1,IF(MID(T54,LEN(T54)-4,1)="D",3,IF(MID(T54,LEN(T54)-4,1)="C",4,5))),""))</f>
        <v>0</v>
      </c>
      <c r="Y54" s="16" t="str">
        <f>IFERROR(IF(AND(Y53=0,IF(IFERROR(FIND("Finale",U54,1),FALSE)=1,FALSE)),0,IF(AND(T54&lt;&gt;"Pause",U54&lt;&gt;"Finale",V54&gt;1),CONCATENATE("00:",X54*W54*Allgemeines!$E$33),IF(AND(T54="Pause",U53=1,IFERROR(FIND("SE",U54,1),0)),Allgemeines!$E$36*W52,IF(IFERROR(FIND("Finale",U54,1),0)&gt;0,TIME(0,20,0)*W54,IF(AND(T54="Pause",Y53&lt;&gt;0),Allgemeines!$E$30,TIME(0,0,0)))))),TIME(0,0,0))</f>
        <v>00:0</v>
      </c>
      <c r="Z54" s="12">
        <f t="shared" si="6"/>
        <v>0.55555555555555514</v>
      </c>
      <c r="AA54" s="13">
        <f>Z54+AH54</f>
        <v>0.55555555555555514</v>
      </c>
      <c r="AB54" s="14" t="b">
        <f>IF(Allgemeines!$E$20&gt;=3,IF(AC54="","",3))</f>
        <v>0</v>
      </c>
      <c r="AC54" s="15" t="str">
        <f>IF(Allgemeines!$E$20&gt;=3,Allgemeines!$H$12,"")</f>
        <v/>
      </c>
      <c r="AD54" s="15">
        <v>1</v>
      </c>
      <c r="AE54" s="15" t="b">
        <f>IF(Allgemeines!$E$20&gt;=3,Allgemeines!$I$12)</f>
        <v>0</v>
      </c>
      <c r="AF54" s="15" t="b">
        <f>IF(Allgemeines!$E$20&gt;=3,IF(AC54="Pause","",IF(AE54=0,,ROUNDUP(AE54/IFERROR(IF(MATCH(AC54,Hilfstabelle!$A$1:$A$71,0)&gt;=1,IF(MID(AC54,LEN(AC54)-4,1)="D",Allgemeines!$E$23,IF(MID(AC54,LEN(AC54)-4,1)="C",Allgemeines!$E$24,IF(MID(AC54,LEN(AC54)-4,1)="B",Allgemeines!$E$25,IF(MID(AC54,LEN(AC54)-4,1)="A",Allgemeines!$E$26,IF(MID(AC54,LEN(AC54)-4,1)="S",Allgemeines!$E$27,)))))),""),0))))</f>
        <v>0</v>
      </c>
      <c r="AG54" s="15" t="b">
        <f>IF(Allgemeines!$E$20&gt;=3,IFERROR(IF(MATCH(AC54,Hilfstabelle!$A$1:$A$71,0)&gt;=1,IF(MID(AC54,LEN(AC54)-4,1)="D",3,IF(MID(AC54,LEN(AC54)-4,1)="C",4,5))),""))</f>
        <v>0</v>
      </c>
      <c r="AH54" s="16" t="str">
        <f>IFERROR(IF(AND(AH53=0,IF(IFERROR(FIND("Finale",AD54,1),FALSE)=1,FALSE)),0,IF(AND(AC54&lt;&gt;"Pause",AD54&lt;&gt;"Finale",AE54&gt;1),CONCATENATE("00:",AG54*AF54*Allgemeines!$E$33),IF(AND(AC54="Pause",AD53=1,IFERROR(FIND("SE",AD54,1),0)),Allgemeines!$E$36*AF52,IF(IFERROR(FIND("Finale",AD54,1),0)&gt;0,TIME(0,20,0)*AF54,IF(AND(AC54="Pause",AH53&lt;&gt;0),Allgemeines!$E$30,TIME(0,0,0)))))),TIME(0,0,0))</f>
        <v>00:0</v>
      </c>
    </row>
    <row r="55" spans="1:34" x14ac:dyDescent="0.25">
      <c r="A55" s="45"/>
      <c r="B55" s="46"/>
      <c r="C55" s="44"/>
      <c r="D55" s="12">
        <f t="shared" ref="D55:D60" si="41">F54</f>
        <v>0.13888888888888892</v>
      </c>
      <c r="E55" s="10">
        <f t="shared" si="30"/>
        <v>6.9444444444444441E-3</v>
      </c>
      <c r="F55" s="32">
        <f t="shared" ref="F55:F59" si="42">D55+E55</f>
        <v>0.14583333333333337</v>
      </c>
      <c r="G55" s="40"/>
      <c r="H55" s="12">
        <f t="shared" si="11"/>
        <v>0.55555555555555514</v>
      </c>
      <c r="I55" s="13">
        <f>H55+P55</f>
        <v>0.56249999999999956</v>
      </c>
      <c r="J55" s="34"/>
      <c r="K55" s="15" t="s">
        <v>10</v>
      </c>
      <c r="L55" s="15" t="b">
        <f>IF(Allgemeines!$E$20&gt;=1,IF(Allgemeines!$E$40="x",CONCATENATE("SE ",K47),""))</f>
        <v>0</v>
      </c>
      <c r="M55" s="15"/>
      <c r="N55" s="15" t="b">
        <f>IF(Allgemeines!$E$20&gt;=1,IF(K55="Pause","",IF(M55=0,,ROUNDUP(M55/IFERROR(IF(MATCH(K55,Hilfstabelle!$A$1:$A$71,0)&gt;=1,IF(MID(K55,LEN(K55)-4,1)="D",Allgemeines!$E$23,IF(MID(K55,LEN(K55)-4,1)="C",Allgemeines!$E$24,IF(MID(K55,LEN(K55)-4,1)="B",Allgemeines!$E$25,IF(MID(K55,LEN(K55)-4,1)="A",Allgemeines!$E$26,IF(MID(K55,LEN(K55)-4,1)="S",Allgemeines!$E$27,)))))),""),0))))</f>
        <v>0</v>
      </c>
      <c r="O55" s="15" t="b">
        <f>IF(Allgemeines!$E$20&gt;=1,IFERROR(IF(MATCH(K55,Hilfstabelle!$A$1:$A$71,0)&gt;=1,IF(MID(K55,LEN(K55)-4,1)="D",3,IF(MID(K55,LEN(K55)-4,1)="C",4,5))),""))</f>
        <v>0</v>
      </c>
      <c r="P55" s="16">
        <f>IFERROR(IF(AND(P54=0,IF(IFERROR(FIND("Finale",L55,1),FALSE)=1,FALSE)),0,IF(AND(K55&lt;&gt;"Pause",L55&lt;&gt;"Finale",M55&gt;1),CONCATENATE("00:",O55*N55*Allgemeines!$E$33),IF(AND(K55="Pause",L54=1,IFERROR(FIND("SE",L55,1),0)),Allgemeines!$E$36*N53,IF(IFERROR(FIND("Finale",L55,1),0)&gt;0,TIME(0,20,0)*N55,IF(AND(K55="Pause",P54&lt;&gt;0),Allgemeines!$E$30,TIME(0,0,0)))))),TIME(0,0,0))</f>
        <v>6.9444444444444441E-3</v>
      </c>
      <c r="Q55" s="12">
        <f t="shared" si="5"/>
        <v>0.55555555555555514</v>
      </c>
      <c r="R55" s="13">
        <f>Q55+Y55</f>
        <v>0.56249999999999956</v>
      </c>
      <c r="S55" s="14"/>
      <c r="T55" s="15" t="s">
        <v>10</v>
      </c>
      <c r="U55" s="15" t="b">
        <f>IF(Allgemeines!$E$20&gt;=2,IF(Allgemeines!$E$40="x",CONCATENATE("SE ",T47),""))</f>
        <v>0</v>
      </c>
      <c r="V55" s="15"/>
      <c r="W55" s="15" t="b">
        <f>IF(Allgemeines!$E$20&gt;=2,IF(T55="Pause","",IF(V55=0,,ROUNDUP(V55/IFERROR(IF(MATCH(T55,Hilfstabelle!$A$1:$A$71,0)&gt;=1,IF(MID(T55,LEN(T55)-4,1)="D",Allgemeines!$E$23,IF(MID(T55,LEN(T55)-4,1)="C",Allgemeines!$E$24,IF(MID(T55,LEN(T55)-4,1)="B",Allgemeines!$E$25,IF(MID(T55,LEN(T55)-4,1)="A",Allgemeines!$E$26,IF(MID(T55,LEN(T55)-4,1)="S",Allgemeines!$E$27,)))))),""),0))))</f>
        <v>0</v>
      </c>
      <c r="X55" s="15" t="b">
        <f>IF(Allgemeines!$E$20&gt;=2,IFERROR(IF(MATCH(T55,Hilfstabelle!$A$1:$A$71,0)&gt;=1,IF(MID(T55,LEN(T55)-4,1)="D",3,IF(MID(T55,LEN(T55)-4,1)="C",4,5))),""))</f>
        <v>0</v>
      </c>
      <c r="Y55" s="16">
        <f>IFERROR(IF(AND(Y54=0,IF(IFERROR(FIND("Finale",U55,1),FALSE)=1,FALSE)),0,IF(AND(T55&lt;&gt;"Pause",U55&lt;&gt;"Finale",V55&gt;1),CONCATENATE("00:",X55*W55*Allgemeines!$E$33),IF(AND(T55="Pause",U54=1,IFERROR(FIND("SE",U55,1),0)),Allgemeines!$E$36*W53,IF(IFERROR(FIND("Finale",U55,1),0)&gt;0,TIME(0,20,0)*W55,IF(AND(T55="Pause",Y54&lt;&gt;0),Allgemeines!$E$30,TIME(0,0,0)))))),TIME(0,0,0))</f>
        <v>6.9444444444444441E-3</v>
      </c>
      <c r="Z55" s="12">
        <f t="shared" si="6"/>
        <v>0.55555555555555514</v>
      </c>
      <c r="AA55" s="13">
        <f>Z55+AH55</f>
        <v>0.56249999999999956</v>
      </c>
      <c r="AB55" s="14"/>
      <c r="AC55" s="15" t="s">
        <v>10</v>
      </c>
      <c r="AD55" s="15" t="b">
        <f>IF(Allgemeines!$E$20&gt;=3,IF(Allgemeines!$E$40="x",CONCATENATE("SE ",AC47),""))</f>
        <v>0</v>
      </c>
      <c r="AE55" s="15"/>
      <c r="AF55" s="15" t="b">
        <f>IF(Allgemeines!$E$20&gt;=3,IF(AC55="Pause","",IF(AE55=0,,ROUNDUP(AE55/IFERROR(IF(MATCH(AC55,Hilfstabelle!$A$1:$A$71,0)&gt;=1,IF(MID(AC55,LEN(AC55)-4,1)="D",Allgemeines!$E$23,IF(MID(AC55,LEN(AC55)-4,1)="C",Allgemeines!$E$24,IF(MID(AC55,LEN(AC55)-4,1)="B",Allgemeines!$E$25,IF(MID(AC55,LEN(AC55)-4,1)="A",Allgemeines!$E$26,IF(MID(AC55,LEN(AC55)-4,1)="S",Allgemeines!$E$27,)))))),""),0))))</f>
        <v>0</v>
      </c>
      <c r="AG55" s="15" t="b">
        <f>IF(Allgemeines!$E$20&gt;=3,IFERROR(IF(MATCH(AC55,Hilfstabelle!$A$1:$A$71,0)&gt;=1,IF(MID(AC55,LEN(AC55)-4,1)="D",3,IF(MID(AC55,LEN(AC55)-4,1)="C",4,5))),""))</f>
        <v>0</v>
      </c>
      <c r="AH55" s="16">
        <f>IFERROR(IF(AND(AH54=0,IF(IFERROR(FIND("Finale",AD55,1),FALSE)=1,FALSE)),0,IF(AND(AC55&lt;&gt;"Pause",AD55&lt;&gt;"Finale",AE55&gt;1),CONCATENATE("00:",AG55*AF55*Allgemeines!$E$33),IF(AND(AC55="Pause",AD54=1,IFERROR(FIND("SE",AD55,1),0)),Allgemeines!$E$36*AF53,IF(IFERROR(FIND("Finale",AD55,1),0)&gt;0,TIME(0,20,0)*AF55,IF(AND(AC55="Pause",AH54&lt;&gt;0),Allgemeines!$E$30,TIME(0,0,0)))))),TIME(0,0,0))</f>
        <v>6.9444444444444441E-3</v>
      </c>
    </row>
    <row r="56" spans="1:34" x14ac:dyDescent="0.25">
      <c r="A56" s="45"/>
      <c r="B56" s="43"/>
      <c r="C56" s="47"/>
      <c r="D56" s="12">
        <f t="shared" si="41"/>
        <v>0.14583333333333337</v>
      </c>
      <c r="E56" s="10" t="str">
        <f t="shared" si="30"/>
        <v>00:0</v>
      </c>
      <c r="F56" s="32">
        <f t="shared" si="42"/>
        <v>0.14583333333333337</v>
      </c>
      <c r="G56" s="40"/>
      <c r="H56" s="12">
        <f t="shared" si="11"/>
        <v>0.56249999999999956</v>
      </c>
      <c r="I56" s="13">
        <f t="shared" ref="I56:I60" si="43">H56+P56</f>
        <v>0.56249999999999956</v>
      </c>
      <c r="J56" s="34" t="b">
        <f>IF(Allgemeines!$E$20&gt;=1,IF(K56="","",1))</f>
        <v>0</v>
      </c>
      <c r="K56" s="15" t="str">
        <f>K54</f>
        <v/>
      </c>
      <c r="L56" s="15">
        <v>2</v>
      </c>
      <c r="M56" s="15" t="b">
        <f>IF(Allgemeines!$E$20&gt;=1,IF(OR(ROUNDUP((M54/2)/6,0)*6=6,VLOOKUP(M54,Hilfstabelle!$F$2:$G$61,2,FALSE)&lt;=6,K56="Pause"),0,VLOOKUP(M54,Hilfstabelle!$F$2:$G$61,2,FALSE)))</f>
        <v>0</v>
      </c>
      <c r="N56" s="15" t="b">
        <f>IF(Allgemeines!$E$20&gt;=1,IF(K56="Pause","",IF(M56=0,,ROUNDUP(M56/IFERROR(IF(MATCH(K56,Hilfstabelle!$A$1:$A$71,0)&gt;=1,IF(MID(K56,LEN(K56)-4,1)="D",Allgemeines!$E$23,IF(MID(K56,LEN(K56)-4,1)="C",Allgemeines!$E$24,IF(MID(K56,LEN(K56)-4,1)="B",Allgemeines!$E$25,IF(MID(K56,LEN(K56)-4,1)="A",Allgemeines!$E$26,IF(MID(K56,LEN(K56)-4,1)="S",Allgemeines!$E$27,)))))),""),0))))</f>
        <v>0</v>
      </c>
      <c r="O56" s="15" t="b">
        <f>IF(Allgemeines!$E$20&gt;=1,IFERROR(IF(MATCH(K56,Hilfstabelle!$A$1:$A$71,0)&gt;=1,IF(MID(K56,LEN(K56)-4,1)="D",3,IF(MID(K56,LEN(K56)-4,1)="C",4,5))),""))</f>
        <v>0</v>
      </c>
      <c r="P56" s="16" t="str">
        <f>IFERROR(IF(AND(P55=0,IF(IFERROR(FIND("Finale",L56,1),FALSE)=1,FALSE)),0,IF(AND(K56&lt;&gt;"Pause",L56&lt;&gt;"Finale",M56&gt;1),CONCATENATE("00:",O56*N56*Allgemeines!$E$33),IF(AND(K56="Pause",L55=1,IFERROR(FIND("SE",L56,1),0)),Allgemeines!$E$36*N54,IF(IFERROR(FIND("Finale",L56,1),0)&gt;0,TIME(0,20,0)*N56,IF(AND(K56="Pause",P55&lt;&gt;0),Allgemeines!$E$30,TIME(0,0,0)))))),TIME(0,0,0))</f>
        <v>00:0</v>
      </c>
      <c r="Q56" s="12">
        <f t="shared" si="5"/>
        <v>0.56249999999999956</v>
      </c>
      <c r="R56" s="13">
        <f t="shared" ref="R56:R60" si="44">Q56+Y56</f>
        <v>0.56249999999999956</v>
      </c>
      <c r="S56" s="14" t="b">
        <f>IF(Allgemeines!$E$20&gt;=2,IF(T56="","",2))</f>
        <v>0</v>
      </c>
      <c r="T56" s="15" t="str">
        <f>T54</f>
        <v/>
      </c>
      <c r="U56" s="15">
        <v>2</v>
      </c>
      <c r="V56" s="15" t="b">
        <f>IF(Allgemeines!$E$20&gt;=2,IF(OR(ROUNDUP((V54/2)/6,0)*6=6,VLOOKUP(V54,Hilfstabelle!$F$2:$G$61,2,FALSE)&lt;=6,T56="Pause"),0,VLOOKUP(V54,Hilfstabelle!$F$2:$G$61,2,FALSE)))</f>
        <v>0</v>
      </c>
      <c r="W56" s="15" t="b">
        <f>IF(Allgemeines!$E$20&gt;=2,IF(T56="Pause","",IF(V56=0,,ROUNDUP(V56/IFERROR(IF(MATCH(T56,Hilfstabelle!$A$1:$A$71,0)&gt;=1,IF(MID(T56,LEN(T56)-4,1)="D",Allgemeines!$E$23,IF(MID(T56,LEN(T56)-4,1)="C",Allgemeines!$E$24,IF(MID(T56,LEN(T56)-4,1)="B",Allgemeines!$E$25,IF(MID(T56,LEN(T56)-4,1)="A",Allgemeines!$E$26,IF(MID(T56,LEN(T56)-4,1)="S",Allgemeines!$E$27,)))))),""),0))))</f>
        <v>0</v>
      </c>
      <c r="X56" s="15" t="b">
        <f>IF(Allgemeines!$E$20&gt;=2,IFERROR(IF(MATCH(T56,Hilfstabelle!$A$1:$A$71,0)&gt;=1,IF(MID(T56,LEN(T56)-4,1)="D",3,IF(MID(T56,LEN(T56)-4,1)="C",4,5))),""))</f>
        <v>0</v>
      </c>
      <c r="Y56" s="16" t="str">
        <f>IFERROR(IF(AND(Y55=0,IF(IFERROR(FIND("Finale",U56,1),FALSE)=1,FALSE)),0,IF(AND(T56&lt;&gt;"Pause",U56&lt;&gt;"Finale",V56&gt;1),CONCATENATE("00:",X56*W56*Allgemeines!$E$33),IF(AND(T56="Pause",U55=1,IFERROR(FIND("SE",U56,1),0)),Allgemeines!$E$36*W54,IF(IFERROR(FIND("Finale",U56,1),0)&gt;0,TIME(0,20,0)*W56,IF(AND(T56="Pause",Y55&lt;&gt;0),Allgemeines!$E$30,TIME(0,0,0)))))),TIME(0,0,0))</f>
        <v>00:0</v>
      </c>
      <c r="Z56" s="12">
        <f t="shared" si="6"/>
        <v>0.56249999999999956</v>
      </c>
      <c r="AA56" s="13">
        <f t="shared" ref="AA56:AA60" si="45">Z56+AH56</f>
        <v>0.56249999999999956</v>
      </c>
      <c r="AB56" s="14" t="b">
        <f>IF(Allgemeines!$E$20&gt;=3,IF(AC56="","",3))</f>
        <v>0</v>
      </c>
      <c r="AC56" s="15" t="str">
        <f>AC54</f>
        <v/>
      </c>
      <c r="AD56" s="15">
        <v>2</v>
      </c>
      <c r="AE56" s="15" t="b">
        <f>IF(Allgemeines!$E$20&gt;=3,IF(OR(ROUNDUP((AE54/2)/6,0)*6=6,VLOOKUP(AE54,Hilfstabelle!$F$2:$G$61,2,FALSE)&lt;=6,AC56="Pause"),0,VLOOKUP(AE54,Hilfstabelle!$F$2:$G$61,2,FALSE)))</f>
        <v>0</v>
      </c>
      <c r="AF56" s="15" t="b">
        <f>IF(Allgemeines!$E$20&gt;=3,IF(AC56="Pause","",IF(AE56=0,,ROUNDUP(AE56/IFERROR(IF(MATCH(AC56,Hilfstabelle!$A$1:$A$71,0)&gt;=1,IF(MID(AC56,LEN(AC56)-4,1)="D",Allgemeines!$E$23,IF(MID(AC56,LEN(AC56)-4,1)="C",Allgemeines!$E$24,IF(MID(AC56,LEN(AC56)-4,1)="B",Allgemeines!$E$25,IF(MID(AC56,LEN(AC56)-4,1)="A",Allgemeines!$E$26,IF(MID(AC56,LEN(AC56)-4,1)="S",Allgemeines!$E$27,)))))),""),0))))</f>
        <v>0</v>
      </c>
      <c r="AG56" s="15" t="b">
        <f>IF(Allgemeines!$E$20&gt;=3,IFERROR(IF(MATCH(AC56,Hilfstabelle!$A$1:$A$71,0)&gt;=1,IF(MID(AC56,LEN(AC56)-4,1)="D",3,IF(MID(AC56,LEN(AC56)-4,1)="C",4,5))),""))</f>
        <v>0</v>
      </c>
      <c r="AH56" s="16" t="str">
        <f>IFERROR(IF(AND(AH55=0,IF(IFERROR(FIND("Finale",AD56,1),FALSE)=1,FALSE)),0,IF(AND(AC56&lt;&gt;"Pause",AD56&lt;&gt;"Finale",AE56&gt;1),CONCATENATE("00:",AG56*AF56*Allgemeines!$E$33),IF(AND(AC56="Pause",AD55=1,IFERROR(FIND("SE",AD56,1),0)),Allgemeines!$E$36*AF54,IF(IFERROR(FIND("Finale",AD56,1),0)&gt;0,TIME(0,20,0)*AF56,IF(AND(AC56="Pause",AH55&lt;&gt;0),Allgemeines!$E$30,TIME(0,0,0)))))),TIME(0,0,0))</f>
        <v>00:0</v>
      </c>
    </row>
    <row r="57" spans="1:34" x14ac:dyDescent="0.25">
      <c r="A57" s="45"/>
      <c r="B57" s="43"/>
      <c r="C57" s="44"/>
      <c r="D57" s="12">
        <f t="shared" si="41"/>
        <v>0.14583333333333337</v>
      </c>
      <c r="E57" s="10">
        <f t="shared" si="30"/>
        <v>6.9444444444444441E-3</v>
      </c>
      <c r="F57" s="32">
        <f t="shared" si="42"/>
        <v>0.15277777777777782</v>
      </c>
      <c r="G57" s="40"/>
      <c r="H57" s="12">
        <f t="shared" si="11"/>
        <v>0.56249999999999956</v>
      </c>
      <c r="I57" s="13">
        <f t="shared" si="43"/>
        <v>0.56944444444444398</v>
      </c>
      <c r="J57" s="34"/>
      <c r="K57" s="15" t="s">
        <v>10</v>
      </c>
      <c r="L57" s="15"/>
      <c r="M57" s="15"/>
      <c r="N57" s="15" t="b">
        <f>IF(Allgemeines!$E$20&gt;=1,IF(K57="Pause","",IF(M57=0,,ROUNDUP(M57/IFERROR(IF(MATCH(K57,Hilfstabelle!$A$1:$A$71,0)&gt;=1,IF(MID(K57,LEN(K57)-4,1)="D",Allgemeines!$E$23,IF(MID(K57,LEN(K57)-4,1)="C",Allgemeines!$E$24,IF(MID(K57,LEN(K57)-4,1)="B",Allgemeines!$E$25,IF(MID(K57,LEN(K57)-4,1)="A",Allgemeines!$E$26,IF(MID(K57,LEN(K57)-4,1)="S",Allgemeines!$E$27,)))))),""),0))))</f>
        <v>0</v>
      </c>
      <c r="O57" s="15" t="b">
        <f>IF(Allgemeines!$E$20&gt;=1,IFERROR(IF(MATCH(K57,Hilfstabelle!$A$1:$A$71,0)&gt;=1,IF(MID(K57,LEN(K57)-4,1)="D",3,IF(MID(K57,LEN(K57)-4,1)="C",4,5))),""))</f>
        <v>0</v>
      </c>
      <c r="P57" s="16">
        <f>IFERROR(IF(AND(P56=0,IF(IFERROR(FIND("Finale",L57,1),FALSE)=1,FALSE)),0,IF(AND(K57&lt;&gt;"Pause",L57&lt;&gt;"Finale",M57&gt;1),CONCATENATE("00:",O57*N57*Allgemeines!$E$33),IF(AND(K57="Pause",L56=1,IFERROR(FIND("SE",L57,1),0)),Allgemeines!$E$36*N55,IF(IFERROR(FIND("Finale",L57,1),0)&gt;0,TIME(0,20,0)*N57,IF(AND(K57="Pause",P56&lt;&gt;0),Allgemeines!$E$30,TIME(0,0,0)))))),TIME(0,0,0))</f>
        <v>6.9444444444444441E-3</v>
      </c>
      <c r="Q57" s="12">
        <f t="shared" si="5"/>
        <v>0.56249999999999956</v>
      </c>
      <c r="R57" s="13">
        <f t="shared" si="44"/>
        <v>0.56944444444444398</v>
      </c>
      <c r="S57" s="14"/>
      <c r="T57" s="15" t="s">
        <v>10</v>
      </c>
      <c r="U57" s="15"/>
      <c r="V57" s="15"/>
      <c r="W57" s="15" t="b">
        <f>IF(Allgemeines!$E$20&gt;=2,IF(T57="Pause","",IF(V57=0,,ROUNDUP(V57/IFERROR(IF(MATCH(T57,Hilfstabelle!$A$1:$A$71,0)&gt;=1,IF(MID(T57,LEN(T57)-4,1)="D",Allgemeines!$E$23,IF(MID(T57,LEN(T57)-4,1)="C",Allgemeines!$E$24,IF(MID(T57,LEN(T57)-4,1)="B",Allgemeines!$E$25,IF(MID(T57,LEN(T57)-4,1)="A",Allgemeines!$E$26,IF(MID(T57,LEN(T57)-4,1)="S",Allgemeines!$E$27,)))))),""),0))))</f>
        <v>0</v>
      </c>
      <c r="X57" s="15" t="b">
        <f>IF(Allgemeines!$E$20&gt;=2,IFERROR(IF(MATCH(T57,Hilfstabelle!$A$1:$A$71,0)&gt;=1,IF(MID(T57,LEN(T57)-4,1)="D",3,IF(MID(T57,LEN(T57)-4,1)="C",4,5))),""))</f>
        <v>0</v>
      </c>
      <c r="Y57" s="16">
        <f>IFERROR(IF(AND(Y56=0,IF(IFERROR(FIND("Finale",U57,1),FALSE)=1,FALSE)),0,IF(AND(T57&lt;&gt;"Pause",U57&lt;&gt;"Finale",V57&gt;1),CONCATENATE("00:",X57*W57*Allgemeines!$E$33),IF(AND(T57="Pause",U56=1,IFERROR(FIND("SE",U57,1),0)),Allgemeines!$E$36*W55,IF(IFERROR(FIND("Finale",U57,1),0)&gt;0,TIME(0,20,0)*W57,IF(AND(T57="Pause",Y56&lt;&gt;0),Allgemeines!$E$30,TIME(0,0,0)))))),TIME(0,0,0))</f>
        <v>6.9444444444444441E-3</v>
      </c>
      <c r="Z57" s="12">
        <f t="shared" si="6"/>
        <v>0.56249999999999956</v>
      </c>
      <c r="AA57" s="13">
        <f t="shared" si="45"/>
        <v>0.56944444444444398</v>
      </c>
      <c r="AB57" s="14"/>
      <c r="AC57" s="15" t="s">
        <v>10</v>
      </c>
      <c r="AD57" s="15"/>
      <c r="AE57" s="15"/>
      <c r="AF57" s="15" t="b">
        <f>IF(Allgemeines!$E$20&gt;=3,IF(AC57="Pause","",IF(AE57=0,,ROUNDUP(AE57/IFERROR(IF(MATCH(AC57,Hilfstabelle!$A$1:$A$71,0)&gt;=1,IF(MID(AC57,LEN(AC57)-4,1)="D",Allgemeines!$E$23,IF(MID(AC57,LEN(AC57)-4,1)="C",Allgemeines!$E$24,IF(MID(AC57,LEN(AC57)-4,1)="B",Allgemeines!$E$25,IF(MID(AC57,LEN(AC57)-4,1)="A",Allgemeines!$E$26,IF(MID(AC57,LEN(AC57)-4,1)="S",Allgemeines!$E$27,)))))),""),0))))</f>
        <v>0</v>
      </c>
      <c r="AG57" s="15" t="b">
        <f>IF(Allgemeines!$E$20&gt;=3,IFERROR(IF(MATCH(AC57,Hilfstabelle!$A$1:$A$71,0)&gt;=1,IF(MID(AC57,LEN(AC57)-4,1)="D",3,IF(MID(AC57,LEN(AC57)-4,1)="C",4,5))),""))</f>
        <v>0</v>
      </c>
      <c r="AH57" s="16">
        <f>IFERROR(IF(AND(AH56=0,IF(IFERROR(FIND("Finale",AD57,1),FALSE)=1,FALSE)),0,IF(AND(AC57&lt;&gt;"Pause",AD57&lt;&gt;"Finale",AE57&gt;1),CONCATENATE("00:",AG57*AF57*Allgemeines!$E$33),IF(AND(AC57="Pause",AD56=1,IFERROR(FIND("SE",AD57,1),0)),Allgemeines!$E$36*AF55,IF(IFERROR(FIND("Finale",AD57,1),0)&gt;0,TIME(0,20,0)*AF57,IF(AND(AC57="Pause",AH56&lt;&gt;0),Allgemeines!$E$30,TIME(0,0,0)))))),TIME(0,0,0))</f>
        <v>6.9444444444444441E-3</v>
      </c>
    </row>
    <row r="58" spans="1:34" x14ac:dyDescent="0.25">
      <c r="A58" s="45"/>
      <c r="B58" s="43"/>
      <c r="C58" s="44"/>
      <c r="D58" s="12">
        <f t="shared" si="41"/>
        <v>0.15277777777777782</v>
      </c>
      <c r="E58" s="10" t="str">
        <f t="shared" si="30"/>
        <v>00:0</v>
      </c>
      <c r="F58" s="32">
        <f t="shared" si="42"/>
        <v>0.15277777777777782</v>
      </c>
      <c r="G58" s="40"/>
      <c r="H58" s="12">
        <f t="shared" si="11"/>
        <v>0.56944444444444398</v>
      </c>
      <c r="I58" s="13">
        <f t="shared" si="43"/>
        <v>0.56944444444444398</v>
      </c>
      <c r="J58" s="34" t="b">
        <f>IF(Allgemeines!$E$20&gt;=1,IF(K58="","",1))</f>
        <v>0</v>
      </c>
      <c r="K58" s="15" t="str">
        <f>K54</f>
        <v/>
      </c>
      <c r="L58" s="15">
        <v>3</v>
      </c>
      <c r="M58" s="15" t="b">
        <f>IF(Allgemeines!$E$20&gt;=1,IFERROR(IF(OR(ROUNDUP((M56/2)/6,0)*6=6,VLOOKUP(M56,Hilfstabelle!$F$2:$G$61,2,FALSE)&lt;6,K58="Pause"),0,VLOOKUP(M56,Hilfstabelle!$F$2:$G$61,2,FALSE)),0))</f>
        <v>0</v>
      </c>
      <c r="N58" s="15" t="b">
        <f>IF(Allgemeines!$E$20&gt;=1,IF(K58="Pause","",IF(M58=0,,ROUNDUP(M58/IFERROR(IF(MATCH(K58,Hilfstabelle!$A$1:$A$71,0)&gt;=1,IF(MID(K58,LEN(K58)-4,1)="D",Allgemeines!$E$23,IF(MID(K58,LEN(K58)-4,1)="C",Allgemeines!$E$24,IF(MID(K58,LEN(K58)-4,1)="B",Allgemeines!$E$25,IF(MID(K58,LEN(K58)-4,1)="A",Allgemeines!$E$26,IF(MID(K58,LEN(K58)-4,1)="S",Allgemeines!$E$27,)))))),""),0))))</f>
        <v>0</v>
      </c>
      <c r="O58" s="15" t="b">
        <f>IF(Allgemeines!$E$20&gt;=1,IFERROR(IF(MATCH(K58,Hilfstabelle!$A$1:$A$71,0)&gt;=1,IF(MID(K58,LEN(K58)-4,1)="D",3,IF(MID(K58,LEN(K58)-4,1)="C",4,5))),""))</f>
        <v>0</v>
      </c>
      <c r="P58" s="16" t="str">
        <f>IFERROR(IF(AND(P57=0,IF(IFERROR(FIND("Finale",L58,1),FALSE)=1,FALSE)),0,IF(AND(K58&lt;&gt;"Pause",L58&lt;&gt;"Finale",M58&gt;1),CONCATENATE("00:",O58*N58*Allgemeines!$E$33),IF(AND(K58="Pause",L57=1,IFERROR(FIND("SE",L58,1),0)),Allgemeines!$E$36*N56,IF(IFERROR(FIND("Finale",L58,1),0)&gt;0,TIME(0,20,0)*N58,IF(AND(K58="Pause",P57&lt;&gt;0),Allgemeines!$E$30,TIME(0,0,0)))))),TIME(0,0,0))</f>
        <v>00:0</v>
      </c>
      <c r="Q58" s="12">
        <f t="shared" si="5"/>
        <v>0.56944444444444398</v>
      </c>
      <c r="R58" s="13">
        <f t="shared" si="44"/>
        <v>0.56944444444444398</v>
      </c>
      <c r="S58" s="14" t="b">
        <f>IF(Allgemeines!$E$20&gt;=2,IF(T58="","",2))</f>
        <v>0</v>
      </c>
      <c r="T58" s="15" t="str">
        <f>T54</f>
        <v/>
      </c>
      <c r="U58" s="15">
        <v>3</v>
      </c>
      <c r="V58" s="15" t="str">
        <f>IF(Allgemeines!$E$20&gt;=2,IFERROR(IF(OR(ROUNDUP((V56/2)/6,0)*6=6,VLOOKUP(V56,Hilfstabelle!$F$2:$G$61,2,FALSE)&lt;6,T58="Pause"),0,VLOOKUP(V56,Hilfstabelle!$F$2:$G$61,2,FALSE)),0),"")</f>
        <v/>
      </c>
      <c r="W58" s="15" t="b">
        <f>IF(Allgemeines!$E$20&gt;=2,IF(T58="Pause","",IF(V58=0,,ROUNDUP(V58/IFERROR(IF(MATCH(T58,Hilfstabelle!$A$1:$A$71,0)&gt;=1,IF(MID(T58,LEN(T58)-4,1)="D",Allgemeines!$E$23,IF(MID(T58,LEN(T58)-4,1)="C",Allgemeines!$E$24,IF(MID(T58,LEN(T58)-4,1)="B",Allgemeines!$E$25,IF(MID(T58,LEN(T58)-4,1)="A",Allgemeines!$E$26,IF(MID(T58,LEN(T58)-4,1)="S",Allgemeines!$E$27,)))))),""),0))))</f>
        <v>0</v>
      </c>
      <c r="X58" s="15" t="b">
        <f>IF(Allgemeines!$E$20&gt;=2,IFERROR(IF(MATCH(T58,Hilfstabelle!$A$1:$A$71,0)&gt;=1,IF(MID(T58,LEN(T58)-4,1)="D",3,IF(MID(T58,LEN(T58)-4,1)="C",4,5))),""))</f>
        <v>0</v>
      </c>
      <c r="Y58" s="16" t="str">
        <f>IFERROR(IF(AND(Y57=0,IF(IFERROR(FIND("Finale",U58,1),FALSE)=1,FALSE)),0,IF(AND(T58&lt;&gt;"Pause",U58&lt;&gt;"Finale",V58&gt;1),CONCATENATE("00:",X58*W58*Allgemeines!$E$33),IF(AND(T58="Pause",U57=1,IFERROR(FIND("SE",U58,1),0)),Allgemeines!$E$36*W56,IF(IFERROR(FIND("Finale",U58,1),0)&gt;0,TIME(0,20,0)*W58,IF(AND(T58="Pause",Y57&lt;&gt;0),Allgemeines!$E$30,TIME(0,0,0)))))),TIME(0,0,0))</f>
        <v>00:0</v>
      </c>
      <c r="Z58" s="12">
        <f t="shared" si="6"/>
        <v>0.56944444444444398</v>
      </c>
      <c r="AA58" s="13">
        <f t="shared" si="45"/>
        <v>0.56944444444444398</v>
      </c>
      <c r="AB58" s="14" t="b">
        <f>IF(Allgemeines!$E$20&gt;=3,IF(AC58="","",3))</f>
        <v>0</v>
      </c>
      <c r="AC58" s="15" t="str">
        <f>AC54</f>
        <v/>
      </c>
      <c r="AD58" s="15">
        <v>3</v>
      </c>
      <c r="AE58" s="15" t="str">
        <f>IF(Allgemeines!$E$20&gt;=3,IFERROR(IF(OR(ROUNDUP((AE56/2)/6,0)*6=6,VLOOKUP(AE56,Hilfstabelle!$F$2:$G$61,2,FALSE)&lt;6,AC58="Pause"),0,VLOOKUP(AE56,Hilfstabelle!$F$2:$G$61,2,FALSE)),0),"")</f>
        <v/>
      </c>
      <c r="AF58" s="15" t="b">
        <f>IF(Allgemeines!$E$20&gt;=3,IF(AC58="Pause","",IF(AE58=0,,ROUNDUP(AE58/IFERROR(IF(MATCH(AC58,Hilfstabelle!$A$1:$A$71,0)&gt;=1,IF(MID(AC58,LEN(AC58)-4,1)="D",Allgemeines!$E$23,IF(MID(AC58,LEN(AC58)-4,1)="C",Allgemeines!$E$24,IF(MID(AC58,LEN(AC58)-4,1)="B",Allgemeines!$E$25,IF(MID(AC58,LEN(AC58)-4,1)="A",Allgemeines!$E$26,IF(MID(AC58,LEN(AC58)-4,1)="S",Allgemeines!$E$27,)))))),""),0))))</f>
        <v>0</v>
      </c>
      <c r="AG58" s="15" t="b">
        <f>IF(Allgemeines!$E$20&gt;=3,IFERROR(IF(MATCH(AC58,Hilfstabelle!$A$1:$A$71,0)&gt;=1,IF(MID(AC58,LEN(AC58)-4,1)="D",3,IF(MID(AC58,LEN(AC58)-4,1)="C",4,5))),""))</f>
        <v>0</v>
      </c>
      <c r="AH58" s="16" t="str">
        <f>IFERROR(IF(AND(AH57=0,IF(IFERROR(FIND("Finale",AD58,1),FALSE)=1,FALSE)),0,IF(AND(AC58&lt;&gt;"Pause",AD58&lt;&gt;"Finale",AE58&gt;1),CONCATENATE("00:",AG58*AF58*Allgemeines!$E$33),IF(AND(AC58="Pause",AD57=1,IFERROR(FIND("SE",AD58,1),0)),Allgemeines!$E$36*AF56,IF(IFERROR(FIND("Finale",AD58,1),0)&gt;0,TIME(0,20,0)*AF58,IF(AND(AC58="Pause",AH57&lt;&gt;0),Allgemeines!$E$30,TIME(0,0,0)))))),TIME(0,0,0))</f>
        <v>00:0</v>
      </c>
    </row>
    <row r="59" spans="1:34" x14ac:dyDescent="0.25">
      <c r="A59" s="45"/>
      <c r="B59" s="43"/>
      <c r="C59" s="44"/>
      <c r="D59" s="12">
        <f t="shared" si="41"/>
        <v>0.15277777777777782</v>
      </c>
      <c r="E59" s="10">
        <f t="shared" si="30"/>
        <v>6.9444444444444441E-3</v>
      </c>
      <c r="F59" s="32">
        <f t="shared" si="42"/>
        <v>0.15972222222222227</v>
      </c>
      <c r="G59" s="40"/>
      <c r="H59" s="12">
        <f t="shared" si="11"/>
        <v>0.56944444444444398</v>
      </c>
      <c r="I59" s="13">
        <f t="shared" si="43"/>
        <v>0.5763888888888884</v>
      </c>
      <c r="J59" s="34"/>
      <c r="K59" s="15" t="s">
        <v>10</v>
      </c>
      <c r="L59" s="15"/>
      <c r="M59" s="15"/>
      <c r="N59" s="15" t="b">
        <f>IF(Allgemeines!$E$20&gt;=1,IF(K59="Pause","",IF(M59=0,,ROUNDUP(M59/IFERROR(IF(MATCH(K59,Hilfstabelle!$A$1:$A$71,0)&gt;=1,IF(MID(K59,LEN(K59)-4,1)="D",Allgemeines!$E$23,IF(MID(K59,LEN(K59)-4,1)="C",Allgemeines!$E$24,IF(MID(K59,LEN(K59)-4,1)="B",Allgemeines!$E$25,IF(MID(K59,LEN(K59)-4,1)="A",Allgemeines!$E$26,IF(MID(K59,LEN(K59)-4,1)="S",Allgemeines!$E$27,)))))),""),0))))</f>
        <v>0</v>
      </c>
      <c r="O59" s="15" t="b">
        <f>IF(Allgemeines!$E$20&gt;=1,IFERROR(IF(MATCH(K59,Hilfstabelle!$A$1:$A$71,0)&gt;=1,IF(MID(K59,LEN(K59)-4,1)="D",3,IF(MID(K59,LEN(K59)-4,1)="C",4,5))),""))</f>
        <v>0</v>
      </c>
      <c r="P59" s="16">
        <f>IFERROR(IF(AND(P58=0,IF(IFERROR(FIND("Finale",L59,1),FALSE)=1,FALSE)),0,IF(AND(K59&lt;&gt;"Pause",L59&lt;&gt;"Finale",M59&gt;1),CONCATENATE("00:",O59*N59*Allgemeines!$E$33),IF(AND(K59="Pause",L58=1,IFERROR(FIND("SE",L59,1),0)),Allgemeines!$E$36*N57,IF(IFERROR(FIND("Finale",L59,1),0)&gt;0,TIME(0,20,0)*N59,IF(AND(K59="Pause",P58&lt;&gt;0),Allgemeines!$E$30,TIME(0,0,0)))))),TIME(0,0,0))</f>
        <v>6.9444444444444441E-3</v>
      </c>
      <c r="Q59" s="12">
        <f t="shared" si="5"/>
        <v>0.56944444444444398</v>
      </c>
      <c r="R59" s="13">
        <f t="shared" si="44"/>
        <v>0.5763888888888884</v>
      </c>
      <c r="S59" s="14"/>
      <c r="T59" s="15" t="s">
        <v>10</v>
      </c>
      <c r="U59" s="15"/>
      <c r="V59" s="15"/>
      <c r="W59" s="15" t="b">
        <f>IF(Allgemeines!$E$20&gt;=2,IF(T59="Pause","",IF(V59=0,,ROUNDUP(V59/IFERROR(IF(MATCH(T59,Hilfstabelle!$A$1:$A$71,0)&gt;=1,IF(MID(T59,LEN(T59)-4,1)="D",Allgemeines!$E$23,IF(MID(T59,LEN(T59)-4,1)="C",Allgemeines!$E$24,IF(MID(T59,LEN(T59)-4,1)="B",Allgemeines!$E$25,IF(MID(T59,LEN(T59)-4,1)="A",Allgemeines!$E$26,IF(MID(T59,LEN(T59)-4,1)="S",Allgemeines!$E$27,)))))),""),0))))</f>
        <v>0</v>
      </c>
      <c r="X59" s="15" t="b">
        <f>IF(Allgemeines!$E$20&gt;=2,IFERROR(IF(MATCH(T59,Hilfstabelle!$A$1:$A$71,0)&gt;=1,IF(MID(T59,LEN(T59)-4,1)="D",3,IF(MID(T59,LEN(T59)-4,1)="C",4,5))),""))</f>
        <v>0</v>
      </c>
      <c r="Y59" s="16">
        <f>IFERROR(IF(AND(Y58=0,IF(IFERROR(FIND("Finale",U59,1),FALSE)=1,FALSE)),0,IF(AND(T59&lt;&gt;"Pause",U59&lt;&gt;"Finale",V59&gt;1),CONCATENATE("00:",X59*W59*Allgemeines!$E$33),IF(AND(T59="Pause",U58=1,IFERROR(FIND("SE",U59,1),0)),Allgemeines!$E$36*W57,IF(IFERROR(FIND("Finale",U59,1),0)&gt;0,TIME(0,20,0)*W59,IF(AND(T59="Pause",Y58&lt;&gt;0),Allgemeines!$E$30,TIME(0,0,0)))))),TIME(0,0,0))</f>
        <v>6.9444444444444441E-3</v>
      </c>
      <c r="Z59" s="12">
        <f t="shared" si="6"/>
        <v>0.56944444444444398</v>
      </c>
      <c r="AA59" s="13">
        <f t="shared" si="45"/>
        <v>0.5763888888888884</v>
      </c>
      <c r="AB59" s="14"/>
      <c r="AC59" s="15" t="s">
        <v>10</v>
      </c>
      <c r="AD59" s="15"/>
      <c r="AE59" s="15"/>
      <c r="AF59" s="15" t="b">
        <f>IF(Allgemeines!$E$20&gt;=3,IF(AC59="Pause","",IF(AE59=0,,ROUNDUP(AE59/IFERROR(IF(MATCH(AC59,Hilfstabelle!$A$1:$A$71,0)&gt;=1,IF(MID(AC59,LEN(AC59)-4,1)="D",Allgemeines!$E$23,IF(MID(AC59,LEN(AC59)-4,1)="C",Allgemeines!$E$24,IF(MID(AC59,LEN(AC59)-4,1)="B",Allgemeines!$E$25,IF(MID(AC59,LEN(AC59)-4,1)="A",Allgemeines!$E$26,IF(MID(AC59,LEN(AC59)-4,1)="S",Allgemeines!$E$27,)))))),""),0))))</f>
        <v>0</v>
      </c>
      <c r="AG59" s="15" t="b">
        <f>IF(Allgemeines!$E$20&gt;=3,IFERROR(IF(MATCH(AC59,Hilfstabelle!$A$1:$A$71,0)&gt;=1,IF(MID(AC59,LEN(AC59)-4,1)="D",3,IF(MID(AC59,LEN(AC59)-4,1)="C",4,5))),""))</f>
        <v>0</v>
      </c>
      <c r="AH59" s="16">
        <f>IFERROR(IF(AND(AH58=0,IF(IFERROR(FIND("Finale",AD59,1),FALSE)=1,FALSE)),0,IF(AND(AC59&lt;&gt;"Pause",AD59&lt;&gt;"Finale",AE59&gt;1),CONCATENATE("00:",AG59*AF59*Allgemeines!$E$33),IF(AND(AC59="Pause",AD58=1,IFERROR(FIND("SE",AD59,1),0)),Allgemeines!$E$36*AF57,IF(IFERROR(FIND("Finale",AD59,1),0)&gt;0,TIME(0,20,0)*AF59,IF(AND(AC59="Pause",AH58&lt;&gt;0),Allgemeines!$E$30,TIME(0,0,0)))))),TIME(0,0,0))</f>
        <v>6.9444444444444441E-3</v>
      </c>
    </row>
    <row r="60" spans="1:34" x14ac:dyDescent="0.25">
      <c r="A60" s="48"/>
      <c r="B60" s="49"/>
      <c r="C60" s="50">
        <f>A54+B54</f>
        <v>0</v>
      </c>
      <c r="D60" s="19">
        <f t="shared" si="41"/>
        <v>0.15972222222222227</v>
      </c>
      <c r="E60" s="17" t="str">
        <f t="shared" si="30"/>
        <v>00:0</v>
      </c>
      <c r="F60" s="37">
        <f>D60+E60</f>
        <v>0.15972222222222227</v>
      </c>
      <c r="G60" s="41">
        <f>F60-D54</f>
        <v>2.0833333333333343E-2</v>
      </c>
      <c r="H60" s="19">
        <f t="shared" si="11"/>
        <v>0.5763888888888884</v>
      </c>
      <c r="I60" s="33">
        <f t="shared" si="43"/>
        <v>0.5763888888888884</v>
      </c>
      <c r="J60" s="35" t="str">
        <f>IF(K60="","",1)</f>
        <v/>
      </c>
      <c r="K60" s="21" t="str">
        <f>K54</f>
        <v/>
      </c>
      <c r="L60" s="21" t="str">
        <f>IF(Allgemeines!$E$20&gt;=1,IF(Allgemeines!$E$39="x","Finale + SE","Finale"),"")</f>
        <v/>
      </c>
      <c r="M60" s="21" t="b">
        <f>IF(Allgemeines!$E$20&gt;=1,IF(M54&gt;6,6,M54))</f>
        <v>0</v>
      </c>
      <c r="N60" s="21" t="b">
        <f>IF(Allgemeines!$E$20&gt;=1,IF(K60="Pause","",IF(M60=0,,ROUNDUP(M60/IFERROR(IF(MATCH(K60,Hilfstabelle!$A$1:$A$71,0)&gt;=1,IF(MID(K60,LEN(K60)-4,1)="D",Allgemeines!$E$23,IF(MID(K60,LEN(K60)-4,1)="C",Allgemeines!$E$24,IF(MID(K60,LEN(K60)-4,1)="B",Allgemeines!$E$25,IF(MID(K60,LEN(K60)-4,1)="A",Allgemeines!$E$26,IF(MID(K60,LEN(K60)-4,1)="S",Allgemeines!$E$27,)))))),""),0))))</f>
        <v>0</v>
      </c>
      <c r="O60" s="21" t="b">
        <f>IF(Allgemeines!$E$20&gt;=1,IFERROR(IF(MATCH(K60,Hilfstabelle!$A$1:$A$71,0)&gt;=1,IF(MID(K60,LEN(K60)-4,1)="D",3,IF(MID(K60,LEN(K60)-4,1)="C",4,5))),""))</f>
        <v>0</v>
      </c>
      <c r="P60" s="22" t="str">
        <f>IFERROR(IF(AND(P59=0,IF(IFERROR(FIND("Finale",L60,1),FALSE)=1,FALSE)),0,IF(AND(K60&lt;&gt;"Pause",L60&lt;&gt;"Finale",M60&gt;1),CONCATENATE("00:",O60*N60*Allgemeines!$E$33),IF(AND(K60="Pause",L59=1,IFERROR(FIND("SE",L60,1),0)),Allgemeines!$E$36*N58,IF(IFERROR(FIND("Finale",L60,1),0)&gt;0,TIME(0,20,0)*N60,IF(AND(K60="Pause",P59&lt;&gt;0),Allgemeines!$E$30,TIME(0,0,0)))))),TIME(0,0,0))</f>
        <v>00:0</v>
      </c>
      <c r="Q60" s="19">
        <f t="shared" si="5"/>
        <v>0.5763888888888884</v>
      </c>
      <c r="R60" s="18">
        <f t="shared" si="44"/>
        <v>0.5763888888888884</v>
      </c>
      <c r="S60" s="20" t="str">
        <f>IF(T60="","",2)</f>
        <v/>
      </c>
      <c r="T60" s="21" t="str">
        <f>T54</f>
        <v/>
      </c>
      <c r="U60" s="21" t="str">
        <f>IF(Allgemeines!$E$20&gt;=2,IF(Allgemeines!$E$39="x","Finale + SE","Finale"),"")</f>
        <v/>
      </c>
      <c r="V60" s="21" t="str">
        <f>IF(Allgemeines!$E$20&gt;=2,IF(V54&gt;6,6,V54),"")</f>
        <v/>
      </c>
      <c r="W60" s="21" t="b">
        <f>IF(Allgemeines!$E$20&gt;=2,IF(T60="Pause","",IF(V60=0,,ROUNDUP(V60/IFERROR(IF(MATCH(T60,Hilfstabelle!$A$1:$A$71,0)&gt;=1,IF(MID(T60,LEN(T60)-4,1)="D",Allgemeines!$E$23,IF(MID(T60,LEN(T60)-4,1)="C",Allgemeines!$E$24,IF(MID(T60,LEN(T60)-4,1)="B",Allgemeines!$E$25,IF(MID(T60,LEN(T60)-4,1)="A",Allgemeines!$E$26,IF(MID(T60,LEN(T60)-4,1)="S",Allgemeines!$E$27,)))))),""),0))))</f>
        <v>0</v>
      </c>
      <c r="X60" s="21" t="b">
        <f>IF(Allgemeines!$E$20&gt;=2,IFERROR(IF(MATCH(T60,Hilfstabelle!$A$1:$A$71,0)&gt;=1,IF(MID(T60,LEN(T60)-4,1)="D",3,IF(MID(T60,LEN(T60)-4,1)="C",4,5))),""))</f>
        <v>0</v>
      </c>
      <c r="Y60" s="22" t="str">
        <f>IFERROR(IF(AND(Y59=0,IF(IFERROR(FIND("Finale",U60,1),FALSE)=1,FALSE)),0,IF(AND(T60&lt;&gt;"Pause",U60&lt;&gt;"Finale",V60&gt;1),CONCATENATE("00:",X60*W60*Allgemeines!$E$33),IF(AND(T60="Pause",U59=1,IFERROR(FIND("SE",U60,1),0)),Allgemeines!$E$36*W58,IF(IFERROR(FIND("Finale",U60,1),0)&gt;0,TIME(0,20,0)*W60,IF(AND(T60="Pause",Y59&lt;&gt;0),Allgemeines!$E$30,TIME(0,0,0)))))),TIME(0,0,0))</f>
        <v>00:0</v>
      </c>
      <c r="Z60" s="19">
        <f t="shared" si="6"/>
        <v>0.5763888888888884</v>
      </c>
      <c r="AA60" s="18">
        <f t="shared" si="45"/>
        <v>0.5763888888888884</v>
      </c>
      <c r="AB60" s="20" t="str">
        <f>IF(AC60="","",3)</f>
        <v/>
      </c>
      <c r="AC60" s="21" t="str">
        <f>AC54</f>
        <v/>
      </c>
      <c r="AD60" s="21" t="str">
        <f>IF(Allgemeines!$E$20&gt;=3,IF(Allgemeines!$E$39="x","Finale + SE","Finale"),"")</f>
        <v/>
      </c>
      <c r="AE60" s="21" t="str">
        <f>IF(Allgemeines!$E$20&gt;=3,IF(AE54&gt;6,6,AE54),"")</f>
        <v/>
      </c>
      <c r="AF60" s="21" t="b">
        <f>IF(Allgemeines!$E$20&gt;=3,IF(AC60="Pause","",IF(AE60=0,,ROUNDUP(AE60/IFERROR(IF(MATCH(AC60,Hilfstabelle!$A$1:$A$71,0)&gt;=1,IF(MID(AC60,LEN(AC60)-4,1)="D",Allgemeines!$E$23,IF(MID(AC60,LEN(AC60)-4,1)="C",Allgemeines!$E$24,IF(MID(AC60,LEN(AC60)-4,1)="B",Allgemeines!$E$25,IF(MID(AC60,LEN(AC60)-4,1)="A",Allgemeines!$E$26,IF(MID(AC60,LEN(AC60)-4,1)="S",Allgemeines!$E$27,)))))),""),0))))</f>
        <v>0</v>
      </c>
      <c r="AG60" s="21" t="b">
        <f>IF(Allgemeines!$E$20&gt;=3,IFERROR(IF(MATCH(AC60,Hilfstabelle!$A$1:$A$71,0)&gt;=1,IF(MID(AC60,LEN(AC60)-4,1)="D",3,IF(MID(AC60,LEN(AC60)-4,1)="C",4,5))),""))</f>
        <v>0</v>
      </c>
      <c r="AH60" s="22" t="str">
        <f>IFERROR(IF(AND(AH59=0,IF(IFERROR(FIND("Finale",AD60,1),FALSE)=1,FALSE)),0,IF(AND(AC60&lt;&gt;"Pause",AD60&lt;&gt;"Finale",AE60&gt;1),CONCATENATE("00:",AG60*AF60*Allgemeines!$E$33),IF(AND(AC60="Pause",AD59=1,IFERROR(FIND("SE",AD60,1),0)),Allgemeines!$E$36*AF58,IF(IFERROR(FIND("Finale",AD60,1),0)&gt;0,TIME(0,20,0)*AF60,IF(AND(AC60="Pause",AH59&lt;&gt;0),Allgemeines!$E$30,TIME(0,0,0)))))),TIME(0,0,0))</f>
        <v>00:0</v>
      </c>
    </row>
    <row r="61" spans="1:34" x14ac:dyDescent="0.25">
      <c r="A61" s="42">
        <f>Allgemeines!$B$13</f>
        <v>0</v>
      </c>
      <c r="B61" s="43">
        <f>Allgemeines!$C$13-Allgemeines!$B$13</f>
        <v>0</v>
      </c>
      <c r="C61" s="44"/>
      <c r="D61" s="36">
        <f>F60</f>
        <v>0.15972222222222227</v>
      </c>
      <c r="E61" s="11" t="str">
        <f t="shared" si="30"/>
        <v>00:0</v>
      </c>
      <c r="F61" s="30">
        <f>D61+E61</f>
        <v>0.15972222222222227</v>
      </c>
      <c r="G61" s="39"/>
      <c r="H61" s="12">
        <f t="shared" si="11"/>
        <v>0.5763888888888884</v>
      </c>
      <c r="I61" s="13">
        <f>H61+P61</f>
        <v>0.5763888888888884</v>
      </c>
      <c r="J61" s="34" t="str">
        <f>IF(Allgemeines!$E$20&gt;=1,IF(K61="","",1),"")</f>
        <v/>
      </c>
      <c r="K61" s="15" t="str">
        <f>IF(Allgemeines!$E$20&gt;=1,Allgemeines!$D$13,"")</f>
        <v/>
      </c>
      <c r="L61" s="15">
        <v>1</v>
      </c>
      <c r="M61" s="15" t="b">
        <f>IF(Allgemeines!$E$20&gt;=1,Allgemeines!$E$13)</f>
        <v>0</v>
      </c>
      <c r="N61" s="15" t="b">
        <f>IF(Allgemeines!$E$20&gt;=1,IF(K61="Pause","",IF(M61=0,,ROUNDUP(M61/IFERROR(IF(MATCH(K61,Hilfstabelle!$A$1:$A$71,0)&gt;=1,IF(MID(K61,LEN(K61)-4,1)="D",Allgemeines!$E$23,IF(MID(K61,LEN(K61)-4,1)="C",Allgemeines!$E$24,IF(MID(K61,LEN(K61)-4,1)="B",Allgemeines!$E$25,IF(MID(K61,LEN(K61)-4,1)="A",Allgemeines!$E$26,IF(MID(K61,LEN(K61)-4,1)="S",Allgemeines!$E$27,)))))),""),0))))</f>
        <v>0</v>
      </c>
      <c r="O61" s="15" t="b">
        <f>IF(Allgemeines!$E$20&gt;=1,IFERROR(IF(MATCH(K61,Hilfstabelle!$A$1:$A$71,0)&gt;=1,IF(MID(K61,LEN(K61)-4,1)="D",3,IF(MID(K61,LEN(K61)-4,1)="C",4,5))),""))</f>
        <v>0</v>
      </c>
      <c r="P61" s="16" t="str">
        <f>IFERROR(IF(AND(P60=0,IF(IFERROR(FIND("Finale",L61,1),FALSE)=1,FALSE)),0,IF(AND(K61&lt;&gt;"Pause",L61&lt;&gt;"Finale",M61&gt;1),CONCATENATE("00:",O61*N61*Allgemeines!$E$33),IF(AND(K61="Pause",L60=1,IFERROR(FIND("SE",L61,1),0)),Allgemeines!$E$36*N59,IF(IFERROR(FIND("Finale",L61,1),0)&gt;0,TIME(0,20,0)*N61,IF(AND(K61="Pause",P60&lt;&gt;0),Allgemeines!$E$30,TIME(0,0,0)))))),TIME(0,0,0))</f>
        <v>00:0</v>
      </c>
      <c r="Q61" s="12">
        <f t="shared" si="5"/>
        <v>0.5763888888888884</v>
      </c>
      <c r="R61" s="13">
        <f>Q61+Y61</f>
        <v>0.5763888888888884</v>
      </c>
      <c r="S61" s="14" t="b">
        <f>IF(Allgemeines!$E$20&gt;=2,IF(T61="","",2))</f>
        <v>0</v>
      </c>
      <c r="T61" s="15" t="str">
        <f>IF(Allgemeines!$E$20&gt;=2,Allgemeines!$F$13,"")</f>
        <v/>
      </c>
      <c r="U61" s="15">
        <v>1</v>
      </c>
      <c r="V61" s="15" t="b">
        <f>IF(Allgemeines!$E$20&gt;=2,Allgemeines!$G$13)</f>
        <v>0</v>
      </c>
      <c r="W61" s="15" t="b">
        <f>IF(Allgemeines!$E$20&gt;=2,IF(T61="Pause","",IF(V61=0,,ROUNDUP(V61/IFERROR(IF(MATCH(T61,Hilfstabelle!$A$1:$A$71,0)&gt;=1,IF(MID(T61,LEN(T61)-4,1)="D",Allgemeines!$E$23,IF(MID(T61,LEN(T61)-4,1)="C",Allgemeines!$E$24,IF(MID(T61,LEN(T61)-4,1)="B",Allgemeines!$E$25,IF(MID(T61,LEN(T61)-4,1)="A",Allgemeines!$E$26,IF(MID(T61,LEN(T61)-4,1)="S",Allgemeines!$E$27,)))))),""),0))))</f>
        <v>0</v>
      </c>
      <c r="X61" s="15" t="b">
        <f>IF(Allgemeines!$E$20&gt;=2,IFERROR(IF(MATCH(T61,Hilfstabelle!$A$1:$A$71,0)&gt;=1,IF(MID(T61,LEN(T61)-4,1)="D",3,IF(MID(T61,LEN(T61)-4,1)="C",4,5))),""))</f>
        <v>0</v>
      </c>
      <c r="Y61" s="16" t="str">
        <f>IFERROR(IF(AND(Y60=0,IF(IFERROR(FIND("Finale",U61,1),FALSE)=1,FALSE)),0,IF(AND(T61&lt;&gt;"Pause",U61&lt;&gt;"Finale",V61&gt;1),CONCATENATE("00:",X61*W61*Allgemeines!$E$33),IF(AND(T61="Pause",U60=1,IFERROR(FIND("SE",U61,1),0)),Allgemeines!$E$36*W59,IF(IFERROR(FIND("Finale",U61,1),0)&gt;0,TIME(0,20,0)*W61,IF(AND(T61="Pause",Y60&lt;&gt;0),Allgemeines!$E$30,TIME(0,0,0)))))),TIME(0,0,0))</f>
        <v>00:0</v>
      </c>
      <c r="Z61" s="12">
        <f t="shared" si="6"/>
        <v>0.5763888888888884</v>
      </c>
      <c r="AA61" s="13">
        <f>Z61+AH61</f>
        <v>0.5763888888888884</v>
      </c>
      <c r="AB61" s="14" t="b">
        <f>IF(Allgemeines!$E$20&gt;=3,IF(AC61="","",3))</f>
        <v>0</v>
      </c>
      <c r="AC61" s="15" t="str">
        <f>IF(Allgemeines!$E$20&gt;=3,Allgemeines!$H$13,"")</f>
        <v/>
      </c>
      <c r="AD61" s="15">
        <v>1</v>
      </c>
      <c r="AE61" s="15" t="b">
        <f>IF(Allgemeines!$E$20&gt;=3,Allgemeines!$I$13)</f>
        <v>0</v>
      </c>
      <c r="AF61" s="15" t="b">
        <f>IF(Allgemeines!$E$20&gt;=3,IF(AC61="Pause","",IF(AE61=0,,ROUNDUP(AE61/IFERROR(IF(MATCH(AC61,Hilfstabelle!$A$1:$A$71,0)&gt;=1,IF(MID(AC61,LEN(AC61)-4,1)="D",Allgemeines!$E$23,IF(MID(AC61,LEN(AC61)-4,1)="C",Allgemeines!$E$24,IF(MID(AC61,LEN(AC61)-4,1)="B",Allgemeines!$E$25,IF(MID(AC61,LEN(AC61)-4,1)="A",Allgemeines!$E$26,IF(MID(AC61,LEN(AC61)-4,1)="S",Allgemeines!$E$27,)))))),""),0))))</f>
        <v>0</v>
      </c>
      <c r="AG61" s="15" t="b">
        <f>IF(Allgemeines!$E$20&gt;=3,IFERROR(IF(MATCH(AC61,Hilfstabelle!$A$1:$A$71,0)&gt;=1,IF(MID(AC61,LEN(AC61)-4,1)="D",3,IF(MID(AC61,LEN(AC61)-4,1)="C",4,5))),""))</f>
        <v>0</v>
      </c>
      <c r="AH61" s="16" t="str">
        <f>IFERROR(IF(AND(AH60=0,IF(IFERROR(FIND("Finale",AD61,1),FALSE)=1,FALSE)),0,IF(AND(AC61&lt;&gt;"Pause",AD61&lt;&gt;"Finale",AE61&gt;1),CONCATENATE("00:",AG61*AF61*Allgemeines!$E$33),IF(AND(AC61="Pause",AD60=1,IFERROR(FIND("SE",AD61,1),0)),Allgemeines!$E$36*AF59,IF(IFERROR(FIND("Finale",AD61,1),0)&gt;0,TIME(0,20,0)*AF61,IF(AND(AC61="Pause",AH60&lt;&gt;0),Allgemeines!$E$30,TIME(0,0,0)))))),TIME(0,0,0))</f>
        <v>00:0</v>
      </c>
    </row>
    <row r="62" spans="1:34" x14ac:dyDescent="0.25">
      <c r="A62" s="45"/>
      <c r="B62" s="46"/>
      <c r="C62" s="44"/>
      <c r="D62" s="12">
        <f t="shared" ref="D62:D67" si="46">F61</f>
        <v>0.15972222222222227</v>
      </c>
      <c r="E62" s="10">
        <f t="shared" si="30"/>
        <v>6.9444444444444441E-3</v>
      </c>
      <c r="F62" s="32">
        <f t="shared" ref="F62:F66" si="47">D62+E62</f>
        <v>0.16666666666666671</v>
      </c>
      <c r="G62" s="40"/>
      <c r="H62" s="12">
        <f t="shared" si="11"/>
        <v>0.5763888888888884</v>
      </c>
      <c r="I62" s="13">
        <f>H62+P62</f>
        <v>0.58333333333333282</v>
      </c>
      <c r="J62" s="34"/>
      <c r="K62" s="15" t="s">
        <v>10</v>
      </c>
      <c r="L62" s="15" t="b">
        <f>IF(Allgemeines!$E$20&gt;=1,IF(Allgemeines!$E$40="x",CONCATENATE("SE ",K54),""))</f>
        <v>0</v>
      </c>
      <c r="M62" s="15"/>
      <c r="N62" s="15" t="b">
        <f>IF(Allgemeines!$E$20&gt;=1,IF(K62="Pause","",IF(M62=0,,ROUNDUP(M62/IFERROR(IF(MATCH(K62,Hilfstabelle!$A$1:$A$71,0)&gt;=1,IF(MID(K62,LEN(K62)-4,1)="D",Allgemeines!$E$23,IF(MID(K62,LEN(K62)-4,1)="C",Allgemeines!$E$24,IF(MID(K62,LEN(K62)-4,1)="B",Allgemeines!$E$25,IF(MID(K62,LEN(K62)-4,1)="A",Allgemeines!$E$26,IF(MID(K62,LEN(K62)-4,1)="S",Allgemeines!$E$27,)))))),""),0))))</f>
        <v>0</v>
      </c>
      <c r="O62" s="15" t="b">
        <f>IF(Allgemeines!$E$20&gt;=1,IFERROR(IF(MATCH(K62,Hilfstabelle!$A$1:$A$71,0)&gt;=1,IF(MID(K62,LEN(K62)-4,1)="D",3,IF(MID(K62,LEN(K62)-4,1)="C",4,5))),""))</f>
        <v>0</v>
      </c>
      <c r="P62" s="16">
        <f>IFERROR(IF(AND(P61=0,IF(IFERROR(FIND("Finale",L62,1),FALSE)=1,FALSE)),0,IF(AND(K62&lt;&gt;"Pause",L62&lt;&gt;"Finale",M62&gt;1),CONCATENATE("00:",O62*N62*Allgemeines!$E$33),IF(AND(K62="Pause",L61=1,IFERROR(FIND("SE",L62,1),0)),Allgemeines!$E$36*N60,IF(IFERROR(FIND("Finale",L62,1),0)&gt;0,TIME(0,20,0)*N62,IF(AND(K62="Pause",P61&lt;&gt;0),Allgemeines!$E$30,TIME(0,0,0)))))),TIME(0,0,0))</f>
        <v>6.9444444444444441E-3</v>
      </c>
      <c r="Q62" s="12">
        <f t="shared" si="5"/>
        <v>0.5763888888888884</v>
      </c>
      <c r="R62" s="13">
        <f>Q62+Y62</f>
        <v>0.58333333333333282</v>
      </c>
      <c r="S62" s="14"/>
      <c r="T62" s="15" t="s">
        <v>10</v>
      </c>
      <c r="U62" s="15" t="b">
        <f>IF(Allgemeines!$E$20&gt;=2,IF(Allgemeines!$E$40="x",CONCATENATE("SE ",T54),""))</f>
        <v>0</v>
      </c>
      <c r="V62" s="15"/>
      <c r="W62" s="15" t="b">
        <f>IF(Allgemeines!$E$20&gt;=2,IF(T62="Pause","",IF(V62=0,,ROUNDUP(V62/IFERROR(IF(MATCH(T62,Hilfstabelle!$A$1:$A$71,0)&gt;=1,IF(MID(T62,LEN(T62)-4,1)="D",Allgemeines!$E$23,IF(MID(T62,LEN(T62)-4,1)="C",Allgemeines!$E$24,IF(MID(T62,LEN(T62)-4,1)="B",Allgemeines!$E$25,IF(MID(T62,LEN(T62)-4,1)="A",Allgemeines!$E$26,IF(MID(T62,LEN(T62)-4,1)="S",Allgemeines!$E$27,)))))),""),0))))</f>
        <v>0</v>
      </c>
      <c r="X62" s="15" t="b">
        <f>IF(Allgemeines!$E$20&gt;=2,IFERROR(IF(MATCH(T62,Hilfstabelle!$A$1:$A$71,0)&gt;=1,IF(MID(T62,LEN(T62)-4,1)="D",3,IF(MID(T62,LEN(T62)-4,1)="C",4,5))),""))</f>
        <v>0</v>
      </c>
      <c r="Y62" s="16">
        <f>IFERROR(IF(AND(Y61=0,IF(IFERROR(FIND("Finale",U62,1),FALSE)=1,FALSE)),0,IF(AND(T62&lt;&gt;"Pause",U62&lt;&gt;"Finale",V62&gt;1),CONCATENATE("00:",X62*W62*Allgemeines!$E$33),IF(AND(T62="Pause",U61=1,IFERROR(FIND("SE",U62,1),0)),Allgemeines!$E$36*W60,IF(IFERROR(FIND("Finale",U62,1),0)&gt;0,TIME(0,20,0)*W62,IF(AND(T62="Pause",Y61&lt;&gt;0),Allgemeines!$E$30,TIME(0,0,0)))))),TIME(0,0,0))</f>
        <v>6.9444444444444441E-3</v>
      </c>
      <c r="Z62" s="12">
        <f t="shared" si="6"/>
        <v>0.5763888888888884</v>
      </c>
      <c r="AA62" s="13">
        <f>Z62+AH62</f>
        <v>0.58333333333333282</v>
      </c>
      <c r="AB62" s="14"/>
      <c r="AC62" s="15" t="s">
        <v>10</v>
      </c>
      <c r="AD62" s="15" t="b">
        <f>IF(Allgemeines!$E$20&gt;=3,IF(Allgemeines!$E$40="x",CONCATENATE("SE ",AC54),""))</f>
        <v>0</v>
      </c>
      <c r="AE62" s="15"/>
      <c r="AF62" s="15" t="b">
        <f>IF(Allgemeines!$E$20&gt;=3,IF(AC62="Pause","",IF(AE62=0,,ROUNDUP(AE62/IFERROR(IF(MATCH(AC62,Hilfstabelle!$A$1:$A$71,0)&gt;=1,IF(MID(AC62,LEN(AC62)-4,1)="D",Allgemeines!$E$23,IF(MID(AC62,LEN(AC62)-4,1)="C",Allgemeines!$E$24,IF(MID(AC62,LEN(AC62)-4,1)="B",Allgemeines!$E$25,IF(MID(AC62,LEN(AC62)-4,1)="A",Allgemeines!$E$26,IF(MID(AC62,LEN(AC62)-4,1)="S",Allgemeines!$E$27,)))))),""),0))))</f>
        <v>0</v>
      </c>
      <c r="AG62" s="15" t="b">
        <f>IF(Allgemeines!$E$20&gt;=3,IFERROR(IF(MATCH(AC62,Hilfstabelle!$A$1:$A$71,0)&gt;=1,IF(MID(AC62,LEN(AC62)-4,1)="D",3,IF(MID(AC62,LEN(AC62)-4,1)="C",4,5))),""))</f>
        <v>0</v>
      </c>
      <c r="AH62" s="16">
        <f>IFERROR(IF(AND(AH61=0,IF(IFERROR(FIND("Finale",AD62,1),FALSE)=1,FALSE)),0,IF(AND(AC62&lt;&gt;"Pause",AD62&lt;&gt;"Finale",AE62&gt;1),CONCATENATE("00:",AG62*AF62*Allgemeines!$E$33),IF(AND(AC62="Pause",AD61=1,IFERROR(FIND("SE",AD62,1),0)),Allgemeines!$E$36*AF60,IF(IFERROR(FIND("Finale",AD62,1),0)&gt;0,TIME(0,20,0)*AF62,IF(AND(AC62="Pause",AH61&lt;&gt;0),Allgemeines!$E$30,TIME(0,0,0)))))),TIME(0,0,0))</f>
        <v>6.9444444444444441E-3</v>
      </c>
    </row>
    <row r="63" spans="1:34" x14ac:dyDescent="0.25">
      <c r="A63" s="45"/>
      <c r="B63" s="43"/>
      <c r="C63" s="47"/>
      <c r="D63" s="12">
        <f t="shared" si="46"/>
        <v>0.16666666666666671</v>
      </c>
      <c r="E63" s="10" t="str">
        <f t="shared" si="30"/>
        <v>00:0</v>
      </c>
      <c r="F63" s="32">
        <f t="shared" si="47"/>
        <v>0.16666666666666671</v>
      </c>
      <c r="G63" s="40"/>
      <c r="H63" s="12">
        <f t="shared" si="11"/>
        <v>0.58333333333333282</v>
      </c>
      <c r="I63" s="13">
        <f t="shared" ref="I63:I67" si="48">H63+P63</f>
        <v>0.58333333333333282</v>
      </c>
      <c r="J63" s="34" t="b">
        <f>IF(Allgemeines!$E$20&gt;=1,IF(K63="","",1))</f>
        <v>0</v>
      </c>
      <c r="K63" s="15" t="str">
        <f>K61</f>
        <v/>
      </c>
      <c r="L63" s="15">
        <v>2</v>
      </c>
      <c r="M63" s="15" t="b">
        <f>IF(Allgemeines!$E$20&gt;=1,IF(OR(ROUNDUP((M61/2)/6,0)*6=6,VLOOKUP(M61,Hilfstabelle!$F$2:$G$61,2,FALSE)&lt;=6,K63="Pause"),0,VLOOKUP(M61,Hilfstabelle!$F$2:$G$61,2,FALSE)))</f>
        <v>0</v>
      </c>
      <c r="N63" s="15" t="b">
        <f>IF(Allgemeines!$E$20&gt;=1,IF(K63="Pause","",IF(M63=0,,ROUNDUP(M63/IFERROR(IF(MATCH(K63,Hilfstabelle!$A$1:$A$71,0)&gt;=1,IF(MID(K63,LEN(K63)-4,1)="D",Allgemeines!$E$23,IF(MID(K63,LEN(K63)-4,1)="C",Allgemeines!$E$24,IF(MID(K63,LEN(K63)-4,1)="B",Allgemeines!$E$25,IF(MID(K63,LEN(K63)-4,1)="A",Allgemeines!$E$26,IF(MID(K63,LEN(K63)-4,1)="S",Allgemeines!$E$27,)))))),""),0))))</f>
        <v>0</v>
      </c>
      <c r="O63" s="15" t="b">
        <f>IF(Allgemeines!$E$20&gt;=1,IFERROR(IF(MATCH(K63,Hilfstabelle!$A$1:$A$71,0)&gt;=1,IF(MID(K63,LEN(K63)-4,1)="D",3,IF(MID(K63,LEN(K63)-4,1)="C",4,5))),""))</f>
        <v>0</v>
      </c>
      <c r="P63" s="16" t="str">
        <f>IFERROR(IF(AND(P62=0,IF(IFERROR(FIND("Finale",L63,1),FALSE)=1,FALSE)),0,IF(AND(K63&lt;&gt;"Pause",L63&lt;&gt;"Finale",M63&gt;1),CONCATENATE("00:",O63*N63*Allgemeines!$E$33),IF(AND(K63="Pause",L62=1,IFERROR(FIND("SE",L63,1),0)),Allgemeines!$E$36*N61,IF(IFERROR(FIND("Finale",L63,1),0)&gt;0,TIME(0,20,0)*N63,IF(AND(K63="Pause",P62&lt;&gt;0),Allgemeines!$E$30,TIME(0,0,0)))))),TIME(0,0,0))</f>
        <v>00:0</v>
      </c>
      <c r="Q63" s="12">
        <f t="shared" si="5"/>
        <v>0.58333333333333282</v>
      </c>
      <c r="R63" s="13">
        <f t="shared" ref="R63:R67" si="49">Q63+Y63</f>
        <v>0.58333333333333282</v>
      </c>
      <c r="S63" s="14" t="b">
        <f>IF(Allgemeines!$E$20&gt;=2,IF(T63="","",2))</f>
        <v>0</v>
      </c>
      <c r="T63" s="15" t="str">
        <f>T61</f>
        <v/>
      </c>
      <c r="U63" s="15">
        <v>2</v>
      </c>
      <c r="V63" s="15" t="b">
        <f>IF(Allgemeines!$E$20&gt;=2,IF(OR(ROUNDUP((V61/2)/6,0)*6=6,VLOOKUP(V61,Hilfstabelle!$F$2:$G$61,2,FALSE)&lt;=6,T63="Pause"),0,VLOOKUP(V61,Hilfstabelle!$F$2:$G$61,2,FALSE)))</f>
        <v>0</v>
      </c>
      <c r="W63" s="15" t="b">
        <f>IF(Allgemeines!$E$20&gt;=2,IF(T63="Pause","",IF(V63=0,,ROUNDUP(V63/IFERROR(IF(MATCH(T63,Hilfstabelle!$A$1:$A$71,0)&gt;=1,IF(MID(T63,LEN(T63)-4,1)="D",Allgemeines!$E$23,IF(MID(T63,LEN(T63)-4,1)="C",Allgemeines!$E$24,IF(MID(T63,LEN(T63)-4,1)="B",Allgemeines!$E$25,IF(MID(T63,LEN(T63)-4,1)="A",Allgemeines!$E$26,IF(MID(T63,LEN(T63)-4,1)="S",Allgemeines!$E$27,)))))),""),0))))</f>
        <v>0</v>
      </c>
      <c r="X63" s="15" t="b">
        <f>IF(Allgemeines!$E$20&gt;=2,IFERROR(IF(MATCH(T63,Hilfstabelle!$A$1:$A$71,0)&gt;=1,IF(MID(T63,LEN(T63)-4,1)="D",3,IF(MID(T63,LEN(T63)-4,1)="C",4,5))),""))</f>
        <v>0</v>
      </c>
      <c r="Y63" s="16" t="str">
        <f>IFERROR(IF(AND(Y62=0,IF(IFERROR(FIND("Finale",U63,1),FALSE)=1,FALSE)),0,IF(AND(T63&lt;&gt;"Pause",U63&lt;&gt;"Finale",V63&gt;1),CONCATENATE("00:",X63*W63*Allgemeines!$E$33),IF(AND(T63="Pause",U62=1,IFERROR(FIND("SE",U63,1),0)),Allgemeines!$E$36*W61,IF(IFERROR(FIND("Finale",U63,1),0)&gt;0,TIME(0,20,0)*W63,IF(AND(T63="Pause",Y62&lt;&gt;0),Allgemeines!$E$30,TIME(0,0,0)))))),TIME(0,0,0))</f>
        <v>00:0</v>
      </c>
      <c r="Z63" s="12">
        <f t="shared" si="6"/>
        <v>0.58333333333333282</v>
      </c>
      <c r="AA63" s="13">
        <f t="shared" ref="AA63:AA67" si="50">Z63+AH63</f>
        <v>0.58333333333333282</v>
      </c>
      <c r="AB63" s="14" t="b">
        <f>IF(Allgemeines!$E$20&gt;=3,IF(AC63="","",3))</f>
        <v>0</v>
      </c>
      <c r="AC63" s="15" t="str">
        <f>AC61</f>
        <v/>
      </c>
      <c r="AD63" s="15">
        <v>2</v>
      </c>
      <c r="AE63" s="15" t="b">
        <f>IF(Allgemeines!$E$20&gt;=3,IF(OR(ROUNDUP((AE61/2)/6,0)*6=6,VLOOKUP(AE61,Hilfstabelle!$F$2:$G$61,2,FALSE)&lt;=6,AC63="Pause"),0,VLOOKUP(AE61,Hilfstabelle!$F$2:$G$61,2,FALSE)))</f>
        <v>0</v>
      </c>
      <c r="AF63" s="15" t="b">
        <f>IF(Allgemeines!$E$20&gt;=3,IF(AC63="Pause","",IF(AE63=0,,ROUNDUP(AE63/IFERROR(IF(MATCH(AC63,Hilfstabelle!$A$1:$A$71,0)&gt;=1,IF(MID(AC63,LEN(AC63)-4,1)="D",Allgemeines!$E$23,IF(MID(AC63,LEN(AC63)-4,1)="C",Allgemeines!$E$24,IF(MID(AC63,LEN(AC63)-4,1)="B",Allgemeines!$E$25,IF(MID(AC63,LEN(AC63)-4,1)="A",Allgemeines!$E$26,IF(MID(AC63,LEN(AC63)-4,1)="S",Allgemeines!$E$27,)))))),""),0))))</f>
        <v>0</v>
      </c>
      <c r="AG63" s="15" t="b">
        <f>IF(Allgemeines!$E$20&gt;=3,IFERROR(IF(MATCH(AC63,Hilfstabelle!$A$1:$A$71,0)&gt;=1,IF(MID(AC63,LEN(AC63)-4,1)="D",3,IF(MID(AC63,LEN(AC63)-4,1)="C",4,5))),""))</f>
        <v>0</v>
      </c>
      <c r="AH63" s="16" t="str">
        <f>IFERROR(IF(AND(AH62=0,IF(IFERROR(FIND("Finale",AD63,1),FALSE)=1,FALSE)),0,IF(AND(AC63&lt;&gt;"Pause",AD63&lt;&gt;"Finale",AE63&gt;1),CONCATENATE("00:",AG63*AF63*Allgemeines!$E$33),IF(AND(AC63="Pause",AD62=1,IFERROR(FIND("SE",AD63,1),0)),Allgemeines!$E$36*AF61,IF(IFERROR(FIND("Finale",AD63,1),0)&gt;0,TIME(0,20,0)*AF63,IF(AND(AC63="Pause",AH62&lt;&gt;0),Allgemeines!$E$30,TIME(0,0,0)))))),TIME(0,0,0))</f>
        <v>00:0</v>
      </c>
    </row>
    <row r="64" spans="1:34" x14ac:dyDescent="0.25">
      <c r="A64" s="45"/>
      <c r="B64" s="43"/>
      <c r="C64" s="44"/>
      <c r="D64" s="12">
        <f t="shared" si="46"/>
        <v>0.16666666666666671</v>
      </c>
      <c r="E64" s="10">
        <f t="shared" si="30"/>
        <v>6.9444444444444441E-3</v>
      </c>
      <c r="F64" s="32">
        <f t="shared" si="47"/>
        <v>0.17361111111111116</v>
      </c>
      <c r="G64" s="40"/>
      <c r="H64" s="12">
        <f t="shared" si="11"/>
        <v>0.58333333333333282</v>
      </c>
      <c r="I64" s="13">
        <f t="shared" si="48"/>
        <v>0.59027777777777724</v>
      </c>
      <c r="J64" s="34"/>
      <c r="K64" s="15" t="s">
        <v>10</v>
      </c>
      <c r="L64" s="15"/>
      <c r="M64" s="15"/>
      <c r="N64" s="15" t="b">
        <f>IF(Allgemeines!$E$20&gt;=1,IF(K64="Pause","",IF(M64=0,,ROUNDUP(M64/IFERROR(IF(MATCH(K64,Hilfstabelle!$A$1:$A$71,0)&gt;=1,IF(MID(K64,LEN(K64)-4,1)="D",Allgemeines!$E$23,IF(MID(K64,LEN(K64)-4,1)="C",Allgemeines!$E$24,IF(MID(K64,LEN(K64)-4,1)="B",Allgemeines!$E$25,IF(MID(K64,LEN(K64)-4,1)="A",Allgemeines!$E$26,IF(MID(K64,LEN(K64)-4,1)="S",Allgemeines!$E$27,)))))),""),0))))</f>
        <v>0</v>
      </c>
      <c r="O64" s="15" t="b">
        <f>IF(Allgemeines!$E$20&gt;=1,IFERROR(IF(MATCH(K64,Hilfstabelle!$A$1:$A$71,0)&gt;=1,IF(MID(K64,LEN(K64)-4,1)="D",3,IF(MID(K64,LEN(K64)-4,1)="C",4,5))),""))</f>
        <v>0</v>
      </c>
      <c r="P64" s="16">
        <f>IFERROR(IF(AND(P63=0,IF(IFERROR(FIND("Finale",L64,1),FALSE)=1,FALSE)),0,IF(AND(K64&lt;&gt;"Pause",L64&lt;&gt;"Finale",M64&gt;1),CONCATENATE("00:",O64*N64*Allgemeines!$E$33),IF(AND(K64="Pause",L63=1,IFERROR(FIND("SE",L64,1),0)),Allgemeines!$E$36*N62,IF(IFERROR(FIND("Finale",L64,1),0)&gt;0,TIME(0,20,0)*N64,IF(AND(K64="Pause",P63&lt;&gt;0),Allgemeines!$E$30,TIME(0,0,0)))))),TIME(0,0,0))</f>
        <v>6.9444444444444441E-3</v>
      </c>
      <c r="Q64" s="12">
        <f t="shared" si="5"/>
        <v>0.58333333333333282</v>
      </c>
      <c r="R64" s="13">
        <f t="shared" si="49"/>
        <v>0.59027777777777724</v>
      </c>
      <c r="S64" s="14"/>
      <c r="T64" s="15" t="s">
        <v>10</v>
      </c>
      <c r="U64" s="15"/>
      <c r="V64" s="15"/>
      <c r="W64" s="15" t="b">
        <f>IF(Allgemeines!$E$20&gt;=2,IF(T64="Pause","",IF(V64=0,,ROUNDUP(V64/IFERROR(IF(MATCH(T64,Hilfstabelle!$A$1:$A$71,0)&gt;=1,IF(MID(T64,LEN(T64)-4,1)="D",Allgemeines!$E$23,IF(MID(T64,LEN(T64)-4,1)="C",Allgemeines!$E$24,IF(MID(T64,LEN(T64)-4,1)="B",Allgemeines!$E$25,IF(MID(T64,LEN(T64)-4,1)="A",Allgemeines!$E$26,IF(MID(T64,LEN(T64)-4,1)="S",Allgemeines!$E$27,)))))),""),0))))</f>
        <v>0</v>
      </c>
      <c r="X64" s="15" t="b">
        <f>IF(Allgemeines!$E$20&gt;=2,IFERROR(IF(MATCH(T64,Hilfstabelle!$A$1:$A$71,0)&gt;=1,IF(MID(T64,LEN(T64)-4,1)="D",3,IF(MID(T64,LEN(T64)-4,1)="C",4,5))),""))</f>
        <v>0</v>
      </c>
      <c r="Y64" s="16">
        <f>IFERROR(IF(AND(Y63=0,IF(IFERROR(FIND("Finale",U64,1),FALSE)=1,FALSE)),0,IF(AND(T64&lt;&gt;"Pause",U64&lt;&gt;"Finale",V64&gt;1),CONCATENATE("00:",X64*W64*Allgemeines!$E$33),IF(AND(T64="Pause",U63=1,IFERROR(FIND("SE",U64,1),0)),Allgemeines!$E$36*W62,IF(IFERROR(FIND("Finale",U64,1),0)&gt;0,TIME(0,20,0)*W64,IF(AND(T64="Pause",Y63&lt;&gt;0),Allgemeines!$E$30,TIME(0,0,0)))))),TIME(0,0,0))</f>
        <v>6.9444444444444441E-3</v>
      </c>
      <c r="Z64" s="12">
        <f t="shared" si="6"/>
        <v>0.58333333333333282</v>
      </c>
      <c r="AA64" s="13">
        <f t="shared" si="50"/>
        <v>0.59027777777777724</v>
      </c>
      <c r="AB64" s="14"/>
      <c r="AC64" s="15" t="s">
        <v>10</v>
      </c>
      <c r="AD64" s="15"/>
      <c r="AE64" s="15"/>
      <c r="AF64" s="15" t="b">
        <f>IF(Allgemeines!$E$20&gt;=3,IF(AC64="Pause","",IF(AE64=0,,ROUNDUP(AE64/IFERROR(IF(MATCH(AC64,Hilfstabelle!$A$1:$A$71,0)&gt;=1,IF(MID(AC64,LEN(AC64)-4,1)="D",Allgemeines!$E$23,IF(MID(AC64,LEN(AC64)-4,1)="C",Allgemeines!$E$24,IF(MID(AC64,LEN(AC64)-4,1)="B",Allgemeines!$E$25,IF(MID(AC64,LEN(AC64)-4,1)="A",Allgemeines!$E$26,IF(MID(AC64,LEN(AC64)-4,1)="S",Allgemeines!$E$27,)))))),""),0))))</f>
        <v>0</v>
      </c>
      <c r="AG64" s="15" t="b">
        <f>IF(Allgemeines!$E$20&gt;=3,IFERROR(IF(MATCH(AC64,Hilfstabelle!$A$1:$A$71,0)&gt;=1,IF(MID(AC64,LEN(AC64)-4,1)="D",3,IF(MID(AC64,LEN(AC64)-4,1)="C",4,5))),""))</f>
        <v>0</v>
      </c>
      <c r="AH64" s="16">
        <f>IFERROR(IF(AND(AH63=0,IF(IFERROR(FIND("Finale",AD64,1),FALSE)=1,FALSE)),0,IF(AND(AC64&lt;&gt;"Pause",AD64&lt;&gt;"Finale",AE64&gt;1),CONCATENATE("00:",AG64*AF64*Allgemeines!$E$33),IF(AND(AC64="Pause",AD63=1,IFERROR(FIND("SE",AD64,1),0)),Allgemeines!$E$36*AF62,IF(IFERROR(FIND("Finale",AD64,1),0)&gt;0,TIME(0,20,0)*AF64,IF(AND(AC64="Pause",AH63&lt;&gt;0),Allgemeines!$E$30,TIME(0,0,0)))))),TIME(0,0,0))</f>
        <v>6.9444444444444441E-3</v>
      </c>
    </row>
    <row r="65" spans="1:34" x14ac:dyDescent="0.25">
      <c r="A65" s="45"/>
      <c r="B65" s="43"/>
      <c r="C65" s="44"/>
      <c r="D65" s="12">
        <f t="shared" si="46"/>
        <v>0.17361111111111116</v>
      </c>
      <c r="E65" s="10" t="str">
        <f t="shared" si="30"/>
        <v>00:0</v>
      </c>
      <c r="F65" s="32">
        <f t="shared" si="47"/>
        <v>0.17361111111111116</v>
      </c>
      <c r="G65" s="40"/>
      <c r="H65" s="12">
        <f t="shared" si="11"/>
        <v>0.59027777777777724</v>
      </c>
      <c r="I65" s="13">
        <f t="shared" si="48"/>
        <v>0.59027777777777724</v>
      </c>
      <c r="J65" s="34" t="b">
        <f>IF(Allgemeines!$E$20&gt;=1,IF(K65="","",1))</f>
        <v>0</v>
      </c>
      <c r="K65" s="15" t="str">
        <f>K61</f>
        <v/>
      </c>
      <c r="L65" s="15">
        <v>3</v>
      </c>
      <c r="M65" s="15" t="b">
        <f>IF(Allgemeines!$E$20&gt;=1,IFERROR(IF(OR(ROUNDUP((M63/2)/6,0)*6=6,VLOOKUP(M63,Hilfstabelle!$F$2:$G$61,2,FALSE)&lt;6,K65="Pause"),0,VLOOKUP(M63,Hilfstabelle!$F$2:$G$61,2,FALSE)),0))</f>
        <v>0</v>
      </c>
      <c r="N65" s="15" t="b">
        <f>IF(Allgemeines!$E$20&gt;=1,IF(K65="Pause","",IF(M65=0,,ROUNDUP(M65/IFERROR(IF(MATCH(K65,Hilfstabelle!$A$1:$A$71,0)&gt;=1,IF(MID(K65,LEN(K65)-4,1)="D",Allgemeines!$E$23,IF(MID(K65,LEN(K65)-4,1)="C",Allgemeines!$E$24,IF(MID(K65,LEN(K65)-4,1)="B",Allgemeines!$E$25,IF(MID(K65,LEN(K65)-4,1)="A",Allgemeines!$E$26,IF(MID(K65,LEN(K65)-4,1)="S",Allgemeines!$E$27,)))))),""),0))))</f>
        <v>0</v>
      </c>
      <c r="O65" s="15" t="b">
        <f>IF(Allgemeines!$E$20&gt;=1,IFERROR(IF(MATCH(K65,Hilfstabelle!$A$1:$A$71,0)&gt;=1,IF(MID(K65,LEN(K65)-4,1)="D",3,IF(MID(K65,LEN(K65)-4,1)="C",4,5))),""))</f>
        <v>0</v>
      </c>
      <c r="P65" s="16" t="str">
        <f>IFERROR(IF(AND(P64=0,IF(IFERROR(FIND("Finale",L65,1),FALSE)=1,FALSE)),0,IF(AND(K65&lt;&gt;"Pause",L65&lt;&gt;"Finale",M65&gt;1),CONCATENATE("00:",O65*N65*Allgemeines!$E$33),IF(AND(K65="Pause",L64=1,IFERROR(FIND("SE",L65,1),0)),Allgemeines!$E$36*N63,IF(IFERROR(FIND("Finale",L65,1),0)&gt;0,TIME(0,20,0)*N65,IF(AND(K65="Pause",P64&lt;&gt;0),Allgemeines!$E$30,TIME(0,0,0)))))),TIME(0,0,0))</f>
        <v>00:0</v>
      </c>
      <c r="Q65" s="12">
        <f t="shared" si="5"/>
        <v>0.59027777777777724</v>
      </c>
      <c r="R65" s="13">
        <f t="shared" si="49"/>
        <v>0.59027777777777724</v>
      </c>
      <c r="S65" s="14" t="b">
        <f>IF(Allgemeines!$E$20&gt;=2,IF(T65="","",2))</f>
        <v>0</v>
      </c>
      <c r="T65" s="15" t="str">
        <f>T61</f>
        <v/>
      </c>
      <c r="U65" s="15">
        <v>3</v>
      </c>
      <c r="V65" s="15" t="str">
        <f>IF(Allgemeines!$E$20&gt;=2,IFERROR(IF(OR(ROUNDUP((V63/2)/6,0)*6=6,VLOOKUP(V63,Hilfstabelle!$F$2:$G$61,2,FALSE)&lt;6,T65="Pause"),0,VLOOKUP(V63,Hilfstabelle!$F$2:$G$61,2,FALSE)),0),"")</f>
        <v/>
      </c>
      <c r="W65" s="15" t="b">
        <f>IF(Allgemeines!$E$20&gt;=2,IF(T65="Pause","",IF(V65=0,,ROUNDUP(V65/IFERROR(IF(MATCH(T65,Hilfstabelle!$A$1:$A$71,0)&gt;=1,IF(MID(T65,LEN(T65)-4,1)="D",Allgemeines!$E$23,IF(MID(T65,LEN(T65)-4,1)="C",Allgemeines!$E$24,IF(MID(T65,LEN(T65)-4,1)="B",Allgemeines!$E$25,IF(MID(T65,LEN(T65)-4,1)="A",Allgemeines!$E$26,IF(MID(T65,LEN(T65)-4,1)="S",Allgemeines!$E$27,)))))),""),0))))</f>
        <v>0</v>
      </c>
      <c r="X65" s="15" t="b">
        <f>IF(Allgemeines!$E$20&gt;=2,IFERROR(IF(MATCH(T65,Hilfstabelle!$A$1:$A$71,0)&gt;=1,IF(MID(T65,LEN(T65)-4,1)="D",3,IF(MID(T65,LEN(T65)-4,1)="C",4,5))),""))</f>
        <v>0</v>
      </c>
      <c r="Y65" s="16" t="str">
        <f>IFERROR(IF(AND(Y64=0,IF(IFERROR(FIND("Finale",U65,1),FALSE)=1,FALSE)),0,IF(AND(T65&lt;&gt;"Pause",U65&lt;&gt;"Finale",V65&gt;1),CONCATENATE("00:",X65*W65*Allgemeines!$E$33),IF(AND(T65="Pause",U64=1,IFERROR(FIND("SE",U65,1),0)),Allgemeines!$E$36*W63,IF(IFERROR(FIND("Finale",U65,1),0)&gt;0,TIME(0,20,0)*W65,IF(AND(T65="Pause",Y64&lt;&gt;0),Allgemeines!$E$30,TIME(0,0,0)))))),TIME(0,0,0))</f>
        <v>00:0</v>
      </c>
      <c r="Z65" s="12">
        <f t="shared" si="6"/>
        <v>0.59027777777777724</v>
      </c>
      <c r="AA65" s="13">
        <f t="shared" si="50"/>
        <v>0.59027777777777724</v>
      </c>
      <c r="AB65" s="14" t="b">
        <f>IF(Allgemeines!$E$20&gt;=3,IF(AC65="","",3))</f>
        <v>0</v>
      </c>
      <c r="AC65" s="15" t="str">
        <f>AC61</f>
        <v/>
      </c>
      <c r="AD65" s="15">
        <v>3</v>
      </c>
      <c r="AE65" s="15" t="str">
        <f>IF(Allgemeines!$E$20&gt;=3,IFERROR(IF(OR(ROUNDUP((AE63/2)/6,0)*6=6,VLOOKUP(AE63,Hilfstabelle!$F$2:$G$61,2,FALSE)&lt;6,AC65="Pause"),0,VLOOKUP(AE63,Hilfstabelle!$F$2:$G$61,2,FALSE)),0),"")</f>
        <v/>
      </c>
      <c r="AF65" s="15" t="b">
        <f>IF(Allgemeines!$E$20&gt;=3,IF(AC65="Pause","",IF(AE65=0,,ROUNDUP(AE65/IFERROR(IF(MATCH(AC65,Hilfstabelle!$A$1:$A$71,0)&gt;=1,IF(MID(AC65,LEN(AC65)-4,1)="D",Allgemeines!$E$23,IF(MID(AC65,LEN(AC65)-4,1)="C",Allgemeines!$E$24,IF(MID(AC65,LEN(AC65)-4,1)="B",Allgemeines!$E$25,IF(MID(AC65,LEN(AC65)-4,1)="A",Allgemeines!$E$26,IF(MID(AC65,LEN(AC65)-4,1)="S",Allgemeines!$E$27,)))))),""),0))))</f>
        <v>0</v>
      </c>
      <c r="AG65" s="15" t="b">
        <f>IF(Allgemeines!$E$20&gt;=3,IFERROR(IF(MATCH(AC65,Hilfstabelle!$A$1:$A$71,0)&gt;=1,IF(MID(AC65,LEN(AC65)-4,1)="D",3,IF(MID(AC65,LEN(AC65)-4,1)="C",4,5))),""))</f>
        <v>0</v>
      </c>
      <c r="AH65" s="16" t="str">
        <f>IFERROR(IF(AND(AH64=0,IF(IFERROR(FIND("Finale",AD65,1),FALSE)=1,FALSE)),0,IF(AND(AC65&lt;&gt;"Pause",AD65&lt;&gt;"Finale",AE65&gt;1),CONCATENATE("00:",AG65*AF65*Allgemeines!$E$33),IF(AND(AC65="Pause",AD64=1,IFERROR(FIND("SE",AD65,1),0)),Allgemeines!$E$36*AF63,IF(IFERROR(FIND("Finale",AD65,1),0)&gt;0,TIME(0,20,0)*AF65,IF(AND(AC65="Pause",AH64&lt;&gt;0),Allgemeines!$E$30,TIME(0,0,0)))))),TIME(0,0,0))</f>
        <v>00:0</v>
      </c>
    </row>
    <row r="66" spans="1:34" x14ac:dyDescent="0.25">
      <c r="A66" s="45"/>
      <c r="B66" s="43"/>
      <c r="C66" s="44"/>
      <c r="D66" s="12">
        <f t="shared" si="46"/>
        <v>0.17361111111111116</v>
      </c>
      <c r="E66" s="10">
        <f t="shared" si="30"/>
        <v>6.9444444444444441E-3</v>
      </c>
      <c r="F66" s="32">
        <f t="shared" si="47"/>
        <v>0.18055555555555561</v>
      </c>
      <c r="G66" s="40"/>
      <c r="H66" s="12">
        <f t="shared" si="11"/>
        <v>0.59027777777777724</v>
      </c>
      <c r="I66" s="13">
        <f t="shared" si="48"/>
        <v>0.59722222222222165</v>
      </c>
      <c r="J66" s="34"/>
      <c r="K66" s="15" t="s">
        <v>10</v>
      </c>
      <c r="L66" s="15"/>
      <c r="M66" s="15"/>
      <c r="N66" s="15" t="b">
        <f>IF(Allgemeines!$E$20&gt;=1,IF(K66="Pause","",IF(M66=0,,ROUNDUP(M66/IFERROR(IF(MATCH(K66,Hilfstabelle!$A$1:$A$71,0)&gt;=1,IF(MID(K66,LEN(K66)-4,1)="D",Allgemeines!$E$23,IF(MID(K66,LEN(K66)-4,1)="C",Allgemeines!$E$24,IF(MID(K66,LEN(K66)-4,1)="B",Allgemeines!$E$25,IF(MID(K66,LEN(K66)-4,1)="A",Allgemeines!$E$26,IF(MID(K66,LEN(K66)-4,1)="S",Allgemeines!$E$27,)))))),""),0))))</f>
        <v>0</v>
      </c>
      <c r="O66" s="15" t="b">
        <f>IF(Allgemeines!$E$20&gt;=1,IFERROR(IF(MATCH(K66,Hilfstabelle!$A$1:$A$71,0)&gt;=1,IF(MID(K66,LEN(K66)-4,1)="D",3,IF(MID(K66,LEN(K66)-4,1)="C",4,5))),""))</f>
        <v>0</v>
      </c>
      <c r="P66" s="16">
        <f>IFERROR(IF(AND(P65=0,IF(IFERROR(FIND("Finale",L66,1),FALSE)=1,FALSE)),0,IF(AND(K66&lt;&gt;"Pause",L66&lt;&gt;"Finale",M66&gt;1),CONCATENATE("00:",O66*N66*Allgemeines!$E$33),IF(AND(K66="Pause",L65=1,IFERROR(FIND("SE",L66,1),0)),Allgemeines!$E$36*N64,IF(IFERROR(FIND("Finale",L66,1),0)&gt;0,TIME(0,20,0)*N66,IF(AND(K66="Pause",P65&lt;&gt;0),Allgemeines!$E$30,TIME(0,0,0)))))),TIME(0,0,0))</f>
        <v>6.9444444444444441E-3</v>
      </c>
      <c r="Q66" s="12">
        <f t="shared" si="5"/>
        <v>0.59027777777777724</v>
      </c>
      <c r="R66" s="13">
        <f t="shared" si="49"/>
        <v>0.59722222222222165</v>
      </c>
      <c r="S66" s="14"/>
      <c r="T66" s="15" t="s">
        <v>10</v>
      </c>
      <c r="U66" s="15"/>
      <c r="V66" s="15"/>
      <c r="W66" s="15" t="b">
        <f>IF(Allgemeines!$E$20&gt;=2,IF(T66="Pause","",IF(V66=0,,ROUNDUP(V66/IFERROR(IF(MATCH(T66,Hilfstabelle!$A$1:$A$71,0)&gt;=1,IF(MID(T66,LEN(T66)-4,1)="D",Allgemeines!$E$23,IF(MID(T66,LEN(T66)-4,1)="C",Allgemeines!$E$24,IF(MID(T66,LEN(T66)-4,1)="B",Allgemeines!$E$25,IF(MID(T66,LEN(T66)-4,1)="A",Allgemeines!$E$26,IF(MID(T66,LEN(T66)-4,1)="S",Allgemeines!$E$27,)))))),""),0))))</f>
        <v>0</v>
      </c>
      <c r="X66" s="15" t="b">
        <f>IF(Allgemeines!$E$20&gt;=2,IFERROR(IF(MATCH(T66,Hilfstabelle!$A$1:$A$71,0)&gt;=1,IF(MID(T66,LEN(T66)-4,1)="D",3,IF(MID(T66,LEN(T66)-4,1)="C",4,5))),""))</f>
        <v>0</v>
      </c>
      <c r="Y66" s="16">
        <f>IFERROR(IF(AND(Y65=0,IF(IFERROR(FIND("Finale",U66,1),FALSE)=1,FALSE)),0,IF(AND(T66&lt;&gt;"Pause",U66&lt;&gt;"Finale",V66&gt;1),CONCATENATE("00:",X66*W66*Allgemeines!$E$33),IF(AND(T66="Pause",U65=1,IFERROR(FIND("SE",U66,1),0)),Allgemeines!$E$36*W64,IF(IFERROR(FIND("Finale",U66,1),0)&gt;0,TIME(0,20,0)*W66,IF(AND(T66="Pause",Y65&lt;&gt;0),Allgemeines!$E$30,TIME(0,0,0)))))),TIME(0,0,0))</f>
        <v>6.9444444444444441E-3</v>
      </c>
      <c r="Z66" s="12">
        <f t="shared" si="6"/>
        <v>0.59027777777777724</v>
      </c>
      <c r="AA66" s="13">
        <f t="shared" si="50"/>
        <v>0.59722222222222165</v>
      </c>
      <c r="AB66" s="14"/>
      <c r="AC66" s="15" t="s">
        <v>10</v>
      </c>
      <c r="AD66" s="15"/>
      <c r="AE66" s="15"/>
      <c r="AF66" s="15" t="b">
        <f>IF(Allgemeines!$E$20&gt;=3,IF(AC66="Pause","",IF(AE66=0,,ROUNDUP(AE66/IFERROR(IF(MATCH(AC66,Hilfstabelle!$A$1:$A$71,0)&gt;=1,IF(MID(AC66,LEN(AC66)-4,1)="D",Allgemeines!$E$23,IF(MID(AC66,LEN(AC66)-4,1)="C",Allgemeines!$E$24,IF(MID(AC66,LEN(AC66)-4,1)="B",Allgemeines!$E$25,IF(MID(AC66,LEN(AC66)-4,1)="A",Allgemeines!$E$26,IF(MID(AC66,LEN(AC66)-4,1)="S",Allgemeines!$E$27,)))))),""),0))))</f>
        <v>0</v>
      </c>
      <c r="AG66" s="15" t="b">
        <f>IF(Allgemeines!$E$20&gt;=3,IFERROR(IF(MATCH(AC66,Hilfstabelle!$A$1:$A$71,0)&gt;=1,IF(MID(AC66,LEN(AC66)-4,1)="D",3,IF(MID(AC66,LEN(AC66)-4,1)="C",4,5))),""))</f>
        <v>0</v>
      </c>
      <c r="AH66" s="16">
        <f>IFERROR(IF(AND(AH65=0,IF(IFERROR(FIND("Finale",AD66,1),FALSE)=1,FALSE)),0,IF(AND(AC66&lt;&gt;"Pause",AD66&lt;&gt;"Finale",AE66&gt;1),CONCATENATE("00:",AG66*AF66*Allgemeines!$E$33),IF(AND(AC66="Pause",AD65=1,IFERROR(FIND("SE",AD66,1),0)),Allgemeines!$E$36*AF64,IF(IFERROR(FIND("Finale",AD66,1),0)&gt;0,TIME(0,20,0)*AF66,IF(AND(AC66="Pause",AH65&lt;&gt;0),Allgemeines!$E$30,TIME(0,0,0)))))),TIME(0,0,0))</f>
        <v>6.9444444444444441E-3</v>
      </c>
    </row>
    <row r="67" spans="1:34" x14ac:dyDescent="0.25">
      <c r="A67" s="48"/>
      <c r="B67" s="49"/>
      <c r="C67" s="50">
        <f>A61+B61</f>
        <v>0</v>
      </c>
      <c r="D67" s="19">
        <f t="shared" si="46"/>
        <v>0.18055555555555561</v>
      </c>
      <c r="E67" s="17" t="str">
        <f t="shared" si="30"/>
        <v>00:0</v>
      </c>
      <c r="F67" s="37">
        <f>D67+E67</f>
        <v>0.18055555555555561</v>
      </c>
      <c r="G67" s="41">
        <f>F67-D61</f>
        <v>2.0833333333333343E-2</v>
      </c>
      <c r="H67" s="19">
        <f t="shared" si="11"/>
        <v>0.59722222222222165</v>
      </c>
      <c r="I67" s="33">
        <f t="shared" si="48"/>
        <v>0.59722222222222165</v>
      </c>
      <c r="J67" s="35" t="str">
        <f>IF(K67="","",1)</f>
        <v/>
      </c>
      <c r="K67" s="21" t="str">
        <f>K61</f>
        <v/>
      </c>
      <c r="L67" s="21" t="str">
        <f>IF(Allgemeines!$E$20&gt;=1,IF(Allgemeines!$E$39="x","Finale + SE","Finale"),"")</f>
        <v/>
      </c>
      <c r="M67" s="21" t="b">
        <f>IF(Allgemeines!$E$20&gt;=1,IF(M61&gt;6,6,M61))</f>
        <v>0</v>
      </c>
      <c r="N67" s="21" t="b">
        <f>IF(Allgemeines!$E$20&gt;=1,IF(K67="Pause","",IF(M67=0,,ROUNDUP(M67/IFERROR(IF(MATCH(K67,Hilfstabelle!$A$1:$A$71,0)&gt;=1,IF(MID(K67,LEN(K67)-4,1)="D",Allgemeines!$E$23,IF(MID(K67,LEN(K67)-4,1)="C",Allgemeines!$E$24,IF(MID(K67,LEN(K67)-4,1)="B",Allgemeines!$E$25,IF(MID(K67,LEN(K67)-4,1)="A",Allgemeines!$E$26,IF(MID(K67,LEN(K67)-4,1)="S",Allgemeines!$E$27,)))))),""),0))))</f>
        <v>0</v>
      </c>
      <c r="O67" s="21" t="b">
        <f>IF(Allgemeines!$E$20&gt;=1,IFERROR(IF(MATCH(K67,Hilfstabelle!$A$1:$A$71,0)&gt;=1,IF(MID(K67,LEN(K67)-4,1)="D",3,IF(MID(K67,LEN(K67)-4,1)="C",4,5))),""))</f>
        <v>0</v>
      </c>
      <c r="P67" s="22" t="str">
        <f>IFERROR(IF(AND(P66=0,IF(IFERROR(FIND("Finale",L67,1),FALSE)=1,FALSE)),0,IF(AND(K67&lt;&gt;"Pause",L67&lt;&gt;"Finale",M67&gt;1),CONCATENATE("00:",O67*N67*Allgemeines!$E$33),IF(AND(K67="Pause",L66=1,IFERROR(FIND("SE",L67,1),0)),Allgemeines!$E$36*N65,IF(IFERROR(FIND("Finale",L67,1),0)&gt;0,TIME(0,20,0)*N67,IF(AND(K67="Pause",P66&lt;&gt;0),Allgemeines!$E$30,TIME(0,0,0)))))),TIME(0,0,0))</f>
        <v>00:0</v>
      </c>
      <c r="Q67" s="19">
        <f t="shared" si="5"/>
        <v>0.59722222222222165</v>
      </c>
      <c r="R67" s="18">
        <f t="shared" si="49"/>
        <v>0.59722222222222165</v>
      </c>
      <c r="S67" s="20" t="str">
        <f>IF(T67="","",2)</f>
        <v/>
      </c>
      <c r="T67" s="21" t="str">
        <f>T61</f>
        <v/>
      </c>
      <c r="U67" s="21" t="str">
        <f>IF(Allgemeines!$E$20&gt;=2,IF(Allgemeines!$E$39="x","Finale + SE","Finale"),"")</f>
        <v/>
      </c>
      <c r="V67" s="21" t="str">
        <f>IF(Allgemeines!$E$20&gt;=2,IF(V61&gt;6,6,V61),"")</f>
        <v/>
      </c>
      <c r="W67" s="21" t="b">
        <f>IF(Allgemeines!$E$20&gt;=2,IF(T67="Pause","",IF(V67=0,,ROUNDUP(V67/IFERROR(IF(MATCH(T67,Hilfstabelle!$A$1:$A$71,0)&gt;=1,IF(MID(T67,LEN(T67)-4,1)="D",Allgemeines!$E$23,IF(MID(T67,LEN(T67)-4,1)="C",Allgemeines!$E$24,IF(MID(T67,LEN(T67)-4,1)="B",Allgemeines!$E$25,IF(MID(T67,LEN(T67)-4,1)="A",Allgemeines!$E$26,IF(MID(T67,LEN(T67)-4,1)="S",Allgemeines!$E$27,)))))),""),0))))</f>
        <v>0</v>
      </c>
      <c r="X67" s="21" t="b">
        <f>IF(Allgemeines!$E$20&gt;=2,IFERROR(IF(MATCH(T67,Hilfstabelle!$A$1:$A$71,0)&gt;=1,IF(MID(T67,LEN(T67)-4,1)="D",3,IF(MID(T67,LEN(T67)-4,1)="C",4,5))),""))</f>
        <v>0</v>
      </c>
      <c r="Y67" s="22" t="str">
        <f>IFERROR(IF(AND(Y66=0,IF(IFERROR(FIND("Finale",U67,1),FALSE)=1,FALSE)),0,IF(AND(T67&lt;&gt;"Pause",U67&lt;&gt;"Finale",V67&gt;1),CONCATENATE("00:",X67*W67*Allgemeines!$E$33),IF(AND(T67="Pause",U66=1,IFERROR(FIND("SE",U67,1),0)),Allgemeines!$E$36*W65,IF(IFERROR(FIND("Finale",U67,1),0)&gt;0,TIME(0,20,0)*W67,IF(AND(T67="Pause",Y66&lt;&gt;0),Allgemeines!$E$30,TIME(0,0,0)))))),TIME(0,0,0))</f>
        <v>00:0</v>
      </c>
      <c r="Z67" s="19">
        <f t="shared" si="6"/>
        <v>0.59722222222222165</v>
      </c>
      <c r="AA67" s="18">
        <f t="shared" si="50"/>
        <v>0.59722222222222165</v>
      </c>
      <c r="AB67" s="20" t="str">
        <f>IF(AC67="","",3)</f>
        <v/>
      </c>
      <c r="AC67" s="21" t="str">
        <f>AC61</f>
        <v/>
      </c>
      <c r="AD67" s="21" t="str">
        <f>IF(Allgemeines!$E$20&gt;=3,IF(Allgemeines!$E$39="x","Finale + SE","Finale"),"")</f>
        <v/>
      </c>
      <c r="AE67" s="21" t="str">
        <f>IF(Allgemeines!$E$20&gt;=3,IF(AE61&gt;6,6,AE61),"")</f>
        <v/>
      </c>
      <c r="AF67" s="21" t="b">
        <f>IF(Allgemeines!$E$20&gt;=3,IF(AC67="Pause","",IF(AE67=0,,ROUNDUP(AE67/IFERROR(IF(MATCH(AC67,Hilfstabelle!$A$1:$A$71,0)&gt;=1,IF(MID(AC67,LEN(AC67)-4,1)="D",Allgemeines!$E$23,IF(MID(AC67,LEN(AC67)-4,1)="C",Allgemeines!$E$24,IF(MID(AC67,LEN(AC67)-4,1)="B",Allgemeines!$E$25,IF(MID(AC67,LEN(AC67)-4,1)="A",Allgemeines!$E$26,IF(MID(AC67,LEN(AC67)-4,1)="S",Allgemeines!$E$27,)))))),""),0))))</f>
        <v>0</v>
      </c>
      <c r="AG67" s="21" t="b">
        <f>IF(Allgemeines!$E$20&gt;=3,IFERROR(IF(MATCH(AC67,Hilfstabelle!$A$1:$A$71,0)&gt;=1,IF(MID(AC67,LEN(AC67)-4,1)="D",3,IF(MID(AC67,LEN(AC67)-4,1)="C",4,5))),""))</f>
        <v>0</v>
      </c>
      <c r="AH67" s="22" t="str">
        <f>IFERROR(IF(AND(AH66=0,IF(IFERROR(FIND("Finale",AD67,1),FALSE)=1,FALSE)),0,IF(AND(AC67&lt;&gt;"Pause",AD67&lt;&gt;"Finale",AE67&gt;1),CONCATENATE("00:",AG67*AF67*Allgemeines!$E$33),IF(AND(AC67="Pause",AD66=1,IFERROR(FIND("SE",AD67,1),0)),Allgemeines!$E$36*AF65,IF(IFERROR(FIND("Finale",AD67,1),0)&gt;0,TIME(0,20,0)*AF67,IF(AND(AC67="Pause",AH66&lt;&gt;0),Allgemeines!$E$30,TIME(0,0,0)))))),TIME(0,0,0))</f>
        <v>00:0</v>
      </c>
    </row>
    <row r="68" spans="1:34" x14ac:dyDescent="0.25">
      <c r="A68" s="42">
        <f>Allgemeines!$B$14</f>
        <v>0</v>
      </c>
      <c r="B68" s="43">
        <f>Allgemeines!$C$14-Allgemeines!$B$14</f>
        <v>0</v>
      </c>
      <c r="C68" s="44"/>
      <c r="D68" s="36">
        <f>F67</f>
        <v>0.18055555555555561</v>
      </c>
      <c r="E68" s="11" t="str">
        <f t="shared" si="30"/>
        <v>00:0</v>
      </c>
      <c r="F68" s="30">
        <f>D68+E68</f>
        <v>0.18055555555555561</v>
      </c>
      <c r="G68" s="39"/>
      <c r="H68" s="12">
        <f t="shared" si="11"/>
        <v>0.59722222222222165</v>
      </c>
      <c r="I68" s="13">
        <f>H68+P68</f>
        <v>0.59722222222222165</v>
      </c>
      <c r="J68" s="34" t="str">
        <f>IF(Allgemeines!$E$20&gt;=1,IF(K68="","",1),"")</f>
        <v/>
      </c>
      <c r="K68" s="15" t="str">
        <f>IF(Allgemeines!$E$20&gt;=1,Allgemeines!$D$14,"")</f>
        <v/>
      </c>
      <c r="L68" s="15">
        <v>1</v>
      </c>
      <c r="M68" s="15" t="b">
        <f>IF(Allgemeines!$E$20&gt;=1,Allgemeines!$E$14)</f>
        <v>0</v>
      </c>
      <c r="N68" s="15" t="b">
        <f>IF(Allgemeines!$E$20&gt;=1,IF(K68="Pause","",IF(M68=0,,ROUNDUP(M68/IFERROR(IF(MATCH(K68,Hilfstabelle!$A$1:$A$71,0)&gt;=1,IF(MID(K68,LEN(K68)-4,1)="D",Allgemeines!$E$23,IF(MID(K68,LEN(K68)-4,1)="C",Allgemeines!$E$24,IF(MID(K68,LEN(K68)-4,1)="B",Allgemeines!$E$25,IF(MID(K68,LEN(K68)-4,1)="A",Allgemeines!$E$26,IF(MID(K68,LEN(K68)-4,1)="S",Allgemeines!$E$27,)))))),""),0))))</f>
        <v>0</v>
      </c>
      <c r="O68" s="15" t="b">
        <f>IF(Allgemeines!$E$20&gt;=1,IFERROR(IF(MATCH(K68,Hilfstabelle!$A$1:$A$71,0)&gt;=1,IF(MID(K68,LEN(K68)-4,1)="D",3,IF(MID(K68,LEN(K68)-4,1)="C",4,5))),""))</f>
        <v>0</v>
      </c>
      <c r="P68" s="16" t="str">
        <f>IFERROR(IF(AND(P67=0,IF(IFERROR(FIND("Finale",L68,1),FALSE)=1,FALSE)),0,IF(AND(K68&lt;&gt;"Pause",L68&lt;&gt;"Finale",M68&gt;1),CONCATENATE("00:",O68*N68*Allgemeines!$E$33),IF(AND(K68="Pause",L67=1,IFERROR(FIND("SE",L68,1),0)),Allgemeines!$E$36*N66,IF(IFERROR(FIND("Finale",L68,1),0)&gt;0,TIME(0,20,0)*N68,IF(AND(K68="Pause",P67&lt;&gt;0),Allgemeines!$E$30,TIME(0,0,0)))))),TIME(0,0,0))</f>
        <v>00:0</v>
      </c>
      <c r="Q68" s="12">
        <f t="shared" si="5"/>
        <v>0.59722222222222165</v>
      </c>
      <c r="R68" s="13">
        <f>Q68+Y68</f>
        <v>0.59722222222222165</v>
      </c>
      <c r="S68" s="14" t="b">
        <f>IF(Allgemeines!$E$20&gt;=2,IF(T68="","",2))</f>
        <v>0</v>
      </c>
      <c r="T68" s="15" t="str">
        <f>IF(Allgemeines!$E$20&gt;=2,Allgemeines!$F$14,"")</f>
        <v/>
      </c>
      <c r="U68" s="15">
        <v>1</v>
      </c>
      <c r="V68" s="15" t="b">
        <f>IF(Allgemeines!$E$20&gt;=2,Allgemeines!$G$14)</f>
        <v>0</v>
      </c>
      <c r="W68" s="15" t="b">
        <f>IF(Allgemeines!$E$20&gt;=2,IF(T68="Pause","",IF(V68=0,,ROUNDUP(V68/IFERROR(IF(MATCH(T68,Hilfstabelle!$A$1:$A$71,0)&gt;=1,IF(MID(T68,LEN(T68)-4,1)="D",Allgemeines!$E$23,IF(MID(T68,LEN(T68)-4,1)="C",Allgemeines!$E$24,IF(MID(T68,LEN(T68)-4,1)="B",Allgemeines!$E$25,IF(MID(T68,LEN(T68)-4,1)="A",Allgemeines!$E$26,IF(MID(T68,LEN(T68)-4,1)="S",Allgemeines!$E$27,)))))),""),0))))</f>
        <v>0</v>
      </c>
      <c r="X68" s="15" t="b">
        <f>IF(Allgemeines!$E$20&gt;=2,IFERROR(IF(MATCH(T68,Hilfstabelle!$A$1:$A$71,0)&gt;=1,IF(MID(T68,LEN(T68)-4,1)="D",3,IF(MID(T68,LEN(T68)-4,1)="C",4,5))),""))</f>
        <v>0</v>
      </c>
      <c r="Y68" s="16" t="str">
        <f>IFERROR(IF(AND(Y67=0,IF(IFERROR(FIND("Finale",U68,1),FALSE)=1,FALSE)),0,IF(AND(T68&lt;&gt;"Pause",U68&lt;&gt;"Finale",V68&gt;1),CONCATENATE("00:",X68*W68*Allgemeines!$E$33),IF(AND(T68="Pause",U67=1,IFERROR(FIND("SE",U68,1),0)),Allgemeines!$E$36*W66,IF(IFERROR(FIND("Finale",U68,1),0)&gt;0,TIME(0,20,0)*W68,IF(AND(T68="Pause",Y67&lt;&gt;0),Allgemeines!$E$30,TIME(0,0,0)))))),TIME(0,0,0))</f>
        <v>00:0</v>
      </c>
      <c r="Z68" s="12">
        <f t="shared" si="6"/>
        <v>0.59722222222222165</v>
      </c>
      <c r="AA68" s="13">
        <f>Z68+AH68</f>
        <v>0.59722222222222165</v>
      </c>
      <c r="AB68" s="14" t="b">
        <f>IF(Allgemeines!$E$20&gt;=3,IF(AC68="","",3))</f>
        <v>0</v>
      </c>
      <c r="AC68" s="15" t="str">
        <f>IF(Allgemeines!$E$20&gt;=3,Allgemeines!$H$14,"")</f>
        <v/>
      </c>
      <c r="AD68" s="15">
        <v>1</v>
      </c>
      <c r="AE68" s="15" t="b">
        <f>IF(Allgemeines!$E$20&gt;=3,Allgemeines!$I$14)</f>
        <v>0</v>
      </c>
      <c r="AF68" s="15" t="b">
        <f>IF(Allgemeines!$E$20&gt;=3,IF(AC68="Pause","",IF(AE68=0,,ROUNDUP(AE68/IFERROR(IF(MATCH(AC68,Hilfstabelle!$A$1:$A$71,0)&gt;=1,IF(MID(AC68,LEN(AC68)-4,1)="D",Allgemeines!$E$23,IF(MID(AC68,LEN(AC68)-4,1)="C",Allgemeines!$E$24,IF(MID(AC68,LEN(AC68)-4,1)="B",Allgemeines!$E$25,IF(MID(AC68,LEN(AC68)-4,1)="A",Allgemeines!$E$26,IF(MID(AC68,LEN(AC68)-4,1)="S",Allgemeines!$E$27,)))))),""),0))))</f>
        <v>0</v>
      </c>
      <c r="AG68" s="15" t="b">
        <f>IF(Allgemeines!$E$20&gt;=3,IFERROR(IF(MATCH(AC68,Hilfstabelle!$A$1:$A$71,0)&gt;=1,IF(MID(AC68,LEN(AC68)-4,1)="D",3,IF(MID(AC68,LEN(AC68)-4,1)="C",4,5))),""))</f>
        <v>0</v>
      </c>
      <c r="AH68" s="16" t="str">
        <f>IFERROR(IF(AND(AH67=0,IF(IFERROR(FIND("Finale",AD68,1),FALSE)=1,FALSE)),0,IF(AND(AC68&lt;&gt;"Pause",AD68&lt;&gt;"Finale",AE68&gt;1),CONCATENATE("00:",AG68*AF68*Allgemeines!$E$33),IF(AND(AC68="Pause",AD67=1,IFERROR(FIND("SE",AD68,1),0)),Allgemeines!$E$36*AF66,IF(IFERROR(FIND("Finale",AD68,1),0)&gt;0,TIME(0,20,0)*AF68,IF(AND(AC68="Pause",AH67&lt;&gt;0),Allgemeines!$E$30,TIME(0,0,0)))))),TIME(0,0,0))</f>
        <v>00:0</v>
      </c>
    </row>
    <row r="69" spans="1:34" x14ac:dyDescent="0.25">
      <c r="A69" s="45"/>
      <c r="B69" s="46"/>
      <c r="C69" s="44"/>
      <c r="D69" s="12">
        <f t="shared" ref="D69:D74" si="51">F68</f>
        <v>0.18055555555555561</v>
      </c>
      <c r="E69" s="10">
        <f t="shared" ref="E69:E74" si="52">IF(AND(P69&gt;=Y69,P69&gt;=AH69),P69,IF(AND(Y69&gt;=P69,Y69&gt;=AH69),Y69,IF(AND(AH69&gt;=P69,AH69&gt;=Y69),AH69,Y69)))</f>
        <v>6.9444444444444441E-3</v>
      </c>
      <c r="F69" s="32">
        <f t="shared" ref="F69:F73" si="53">D69+E69</f>
        <v>0.18750000000000006</v>
      </c>
      <c r="G69" s="40"/>
      <c r="H69" s="12">
        <f t="shared" si="11"/>
        <v>0.59722222222222165</v>
      </c>
      <c r="I69" s="13">
        <f>H69+P69</f>
        <v>0.60416666666666607</v>
      </c>
      <c r="J69" s="34"/>
      <c r="K69" s="15" t="s">
        <v>10</v>
      </c>
      <c r="L69" s="15" t="b">
        <f>IF(Allgemeines!$E$20&gt;=1,IF(Allgemeines!$E$40="x",CONCATENATE("SE ",K61),""))</f>
        <v>0</v>
      </c>
      <c r="M69" s="15"/>
      <c r="N69" s="15" t="b">
        <f>IF(Allgemeines!$E$20&gt;=1,IF(K69="Pause","",IF(M69=0,,ROUNDUP(M69/IFERROR(IF(MATCH(K69,Hilfstabelle!$A$1:$A$71,0)&gt;=1,IF(MID(K69,LEN(K69)-4,1)="D",Allgemeines!$E$23,IF(MID(K69,LEN(K69)-4,1)="C",Allgemeines!$E$24,IF(MID(K69,LEN(K69)-4,1)="B",Allgemeines!$E$25,IF(MID(K69,LEN(K69)-4,1)="A",Allgemeines!$E$26,IF(MID(K69,LEN(K69)-4,1)="S",Allgemeines!$E$27,)))))),""),0))))</f>
        <v>0</v>
      </c>
      <c r="O69" s="15" t="b">
        <f>IF(Allgemeines!$E$20&gt;=1,IFERROR(IF(MATCH(K69,Hilfstabelle!$A$1:$A$71,0)&gt;=1,IF(MID(K69,LEN(K69)-4,1)="D",3,IF(MID(K69,LEN(K69)-4,1)="C",4,5))),""))</f>
        <v>0</v>
      </c>
      <c r="P69" s="16">
        <f>IFERROR(IF(AND(P68=0,IF(IFERROR(FIND("Finale",L69,1),FALSE)=1,FALSE)),0,IF(AND(K69&lt;&gt;"Pause",L69&lt;&gt;"Finale",M69&gt;1),CONCATENATE("00:",O69*N69*Allgemeines!$E$33),IF(AND(K69="Pause",L68=1,IFERROR(FIND("SE",L69,1),0)),Allgemeines!$E$36*N67,IF(IFERROR(FIND("Finale",L69,1),0)&gt;0,TIME(0,20,0)*N69,IF(AND(K69="Pause",P68&lt;&gt;0),Allgemeines!$E$30,TIME(0,0,0)))))),TIME(0,0,0))</f>
        <v>6.9444444444444441E-3</v>
      </c>
      <c r="Q69" s="12">
        <f t="shared" si="5"/>
        <v>0.59722222222222165</v>
      </c>
      <c r="R69" s="13">
        <f>Q69+Y69</f>
        <v>0.60416666666666607</v>
      </c>
      <c r="S69" s="14"/>
      <c r="T69" s="15" t="s">
        <v>10</v>
      </c>
      <c r="U69" s="15" t="b">
        <f>IF(Allgemeines!$E$20&gt;=2,IF(Allgemeines!$E$40="x",CONCATENATE("SE ",T61),""))</f>
        <v>0</v>
      </c>
      <c r="V69" s="15"/>
      <c r="W69" s="15" t="b">
        <f>IF(Allgemeines!$E$20&gt;=2,IF(T69="Pause","",IF(V69=0,,ROUNDUP(V69/IFERROR(IF(MATCH(T69,Hilfstabelle!$A$1:$A$71,0)&gt;=1,IF(MID(T69,LEN(T69)-4,1)="D",Allgemeines!$E$23,IF(MID(T69,LEN(T69)-4,1)="C",Allgemeines!$E$24,IF(MID(T69,LEN(T69)-4,1)="B",Allgemeines!$E$25,IF(MID(T69,LEN(T69)-4,1)="A",Allgemeines!$E$26,IF(MID(T69,LEN(T69)-4,1)="S",Allgemeines!$E$27,)))))),""),0))))</f>
        <v>0</v>
      </c>
      <c r="X69" s="15" t="b">
        <f>IF(Allgemeines!$E$20&gt;=2,IFERROR(IF(MATCH(T69,Hilfstabelle!$A$1:$A$71,0)&gt;=1,IF(MID(T69,LEN(T69)-4,1)="D",3,IF(MID(T69,LEN(T69)-4,1)="C",4,5))),""))</f>
        <v>0</v>
      </c>
      <c r="Y69" s="16">
        <f>IFERROR(IF(AND(Y68=0,IF(IFERROR(FIND("Finale",U69,1),FALSE)=1,FALSE)),0,IF(AND(T69&lt;&gt;"Pause",U69&lt;&gt;"Finale",V69&gt;1),CONCATENATE("00:",X69*W69*Allgemeines!$E$33),IF(AND(T69="Pause",U68=1,IFERROR(FIND("SE",U69,1),0)),Allgemeines!$E$36*W67,IF(IFERROR(FIND("Finale",U69,1),0)&gt;0,TIME(0,20,0)*W69,IF(AND(T69="Pause",Y68&lt;&gt;0),Allgemeines!$E$30,TIME(0,0,0)))))),TIME(0,0,0))</f>
        <v>6.9444444444444441E-3</v>
      </c>
      <c r="Z69" s="12">
        <f t="shared" si="6"/>
        <v>0.59722222222222165</v>
      </c>
      <c r="AA69" s="13">
        <f>Z69+AH69</f>
        <v>0.60416666666666607</v>
      </c>
      <c r="AB69" s="14"/>
      <c r="AC69" s="15" t="s">
        <v>10</v>
      </c>
      <c r="AD69" s="15" t="b">
        <f>IF(Allgemeines!$E$20&gt;=3,IF(Allgemeines!$E$40="x",CONCATENATE("SE ",AC61),""))</f>
        <v>0</v>
      </c>
      <c r="AE69" s="15"/>
      <c r="AF69" s="15" t="b">
        <f>IF(Allgemeines!$E$20&gt;=3,IF(AC69="Pause","",IF(AE69=0,,ROUNDUP(AE69/IFERROR(IF(MATCH(AC69,Hilfstabelle!$A$1:$A$71,0)&gt;=1,IF(MID(AC69,LEN(AC69)-4,1)="D",Allgemeines!$E$23,IF(MID(AC69,LEN(AC69)-4,1)="C",Allgemeines!$E$24,IF(MID(AC69,LEN(AC69)-4,1)="B",Allgemeines!$E$25,IF(MID(AC69,LEN(AC69)-4,1)="A",Allgemeines!$E$26,IF(MID(AC69,LEN(AC69)-4,1)="S",Allgemeines!$E$27,)))))),""),0))))</f>
        <v>0</v>
      </c>
      <c r="AG69" s="15" t="b">
        <f>IF(Allgemeines!$E$20&gt;=3,IFERROR(IF(MATCH(AC69,Hilfstabelle!$A$1:$A$71,0)&gt;=1,IF(MID(AC69,LEN(AC69)-4,1)="D",3,IF(MID(AC69,LEN(AC69)-4,1)="C",4,5))),""))</f>
        <v>0</v>
      </c>
      <c r="AH69" s="16">
        <f>IFERROR(IF(AND(AH68=0,IF(IFERROR(FIND("Finale",AD69,1),FALSE)=1,FALSE)),0,IF(AND(AC69&lt;&gt;"Pause",AD69&lt;&gt;"Finale",AE69&gt;1),CONCATENATE("00:",AG69*AF69*Allgemeines!$E$33),IF(AND(AC69="Pause",AD68=1,IFERROR(FIND("SE",AD69,1),0)),Allgemeines!$E$36*AF67,IF(IFERROR(FIND("Finale",AD69,1),0)&gt;0,TIME(0,20,0)*AF69,IF(AND(AC69="Pause",AH68&lt;&gt;0),Allgemeines!$E$30,TIME(0,0,0)))))),TIME(0,0,0))</f>
        <v>6.9444444444444441E-3</v>
      </c>
    </row>
    <row r="70" spans="1:34" x14ac:dyDescent="0.25">
      <c r="A70" s="45"/>
      <c r="B70" s="43"/>
      <c r="C70" s="47"/>
      <c r="D70" s="12">
        <f t="shared" si="51"/>
        <v>0.18750000000000006</v>
      </c>
      <c r="E70" s="10" t="str">
        <f t="shared" si="52"/>
        <v>00:0</v>
      </c>
      <c r="F70" s="32">
        <f t="shared" si="53"/>
        <v>0.18750000000000006</v>
      </c>
      <c r="G70" s="40"/>
      <c r="H70" s="12">
        <f t="shared" si="11"/>
        <v>0.60416666666666607</v>
      </c>
      <c r="I70" s="13">
        <f t="shared" ref="I70:I74" si="54">H70+P70</f>
        <v>0.60416666666666607</v>
      </c>
      <c r="J70" s="34" t="b">
        <f>IF(Allgemeines!$E$20&gt;=1,IF(K70="","",1))</f>
        <v>0</v>
      </c>
      <c r="K70" s="15" t="str">
        <f>K68</f>
        <v/>
      </c>
      <c r="L70" s="15">
        <v>2</v>
      </c>
      <c r="M70" s="15" t="b">
        <f>IF(Allgemeines!$E$20&gt;=1,IF(OR(ROUNDUP((M68/2)/6,0)*6=6,VLOOKUP(M68,Hilfstabelle!$F$2:$G$61,2,FALSE)&lt;=6,K70="Pause"),0,VLOOKUP(M68,Hilfstabelle!$F$2:$G$61,2,FALSE)))</f>
        <v>0</v>
      </c>
      <c r="N70" s="15" t="b">
        <f>IF(Allgemeines!$E$20&gt;=1,IF(K70="Pause","",IF(M70=0,,ROUNDUP(M70/IFERROR(IF(MATCH(K70,Hilfstabelle!$A$1:$A$71,0)&gt;=1,IF(MID(K70,LEN(K70)-4,1)="D",Allgemeines!$E$23,IF(MID(K70,LEN(K70)-4,1)="C",Allgemeines!$E$24,IF(MID(K70,LEN(K70)-4,1)="B",Allgemeines!$E$25,IF(MID(K70,LEN(K70)-4,1)="A",Allgemeines!$E$26,IF(MID(K70,LEN(K70)-4,1)="S",Allgemeines!$E$27,)))))),""),0))))</f>
        <v>0</v>
      </c>
      <c r="O70" s="15" t="b">
        <f>IF(Allgemeines!$E$20&gt;=1,IFERROR(IF(MATCH(K70,Hilfstabelle!$A$1:$A$71,0)&gt;=1,IF(MID(K70,LEN(K70)-4,1)="D",3,IF(MID(K70,LEN(K70)-4,1)="C",4,5))),""))</f>
        <v>0</v>
      </c>
      <c r="P70" s="16" t="str">
        <f>IFERROR(IF(AND(P69=0,IF(IFERROR(FIND("Finale",L70,1),FALSE)=1,FALSE)),0,IF(AND(K70&lt;&gt;"Pause",L70&lt;&gt;"Finale",M70&gt;1),CONCATENATE("00:",O70*N70*Allgemeines!$E$33),IF(AND(K70="Pause",L69=1,IFERROR(FIND("SE",L70,1),0)),Allgemeines!$E$36*N68,IF(IFERROR(FIND("Finale",L70,1),0)&gt;0,TIME(0,20,0)*N70,IF(AND(K70="Pause",P69&lt;&gt;0),Allgemeines!$E$30,TIME(0,0,0)))))),TIME(0,0,0))</f>
        <v>00:0</v>
      </c>
      <c r="Q70" s="12">
        <f t="shared" si="5"/>
        <v>0.60416666666666607</v>
      </c>
      <c r="R70" s="13">
        <f t="shared" ref="R70:R74" si="55">Q70+Y70</f>
        <v>0.60416666666666607</v>
      </c>
      <c r="S70" s="14" t="b">
        <f>IF(Allgemeines!$E$20&gt;=2,IF(T70="","",2))</f>
        <v>0</v>
      </c>
      <c r="T70" s="15" t="str">
        <f>T68</f>
        <v/>
      </c>
      <c r="U70" s="15">
        <v>2</v>
      </c>
      <c r="V70" s="15" t="b">
        <f>IF(Allgemeines!$E$20&gt;=2,IF(OR(ROUNDUP((V68/2)/6,0)*6=6,VLOOKUP(V68,Hilfstabelle!$F$2:$G$61,2,FALSE)&lt;=6,T70="Pause"),0,VLOOKUP(V68,Hilfstabelle!$F$2:$G$61,2,FALSE)))</f>
        <v>0</v>
      </c>
      <c r="W70" s="15" t="b">
        <f>IF(Allgemeines!$E$20&gt;=2,IF(T70="Pause","",IF(V70=0,,ROUNDUP(V70/IFERROR(IF(MATCH(T70,Hilfstabelle!$A$1:$A$71,0)&gt;=1,IF(MID(T70,LEN(T70)-4,1)="D",Allgemeines!$E$23,IF(MID(T70,LEN(T70)-4,1)="C",Allgemeines!$E$24,IF(MID(T70,LEN(T70)-4,1)="B",Allgemeines!$E$25,IF(MID(T70,LEN(T70)-4,1)="A",Allgemeines!$E$26,IF(MID(T70,LEN(T70)-4,1)="S",Allgemeines!$E$27,)))))),""),0))))</f>
        <v>0</v>
      </c>
      <c r="X70" s="15" t="b">
        <f>IF(Allgemeines!$E$20&gt;=2,IFERROR(IF(MATCH(T70,Hilfstabelle!$A$1:$A$71,0)&gt;=1,IF(MID(T70,LEN(T70)-4,1)="D",3,IF(MID(T70,LEN(T70)-4,1)="C",4,5))),""))</f>
        <v>0</v>
      </c>
      <c r="Y70" s="16" t="str">
        <f>IFERROR(IF(AND(Y69=0,IF(IFERROR(FIND("Finale",U70,1),FALSE)=1,FALSE)),0,IF(AND(T70&lt;&gt;"Pause",U70&lt;&gt;"Finale",V70&gt;1),CONCATENATE("00:",X70*W70*Allgemeines!$E$33),IF(AND(T70="Pause",U69=1,IFERROR(FIND("SE",U70,1),0)),Allgemeines!$E$36*W68,IF(IFERROR(FIND("Finale",U70,1),0)&gt;0,TIME(0,20,0)*W70,IF(AND(T70="Pause",Y69&lt;&gt;0),Allgemeines!$E$30,TIME(0,0,0)))))),TIME(0,0,0))</f>
        <v>00:0</v>
      </c>
      <c r="Z70" s="12">
        <f t="shared" si="6"/>
        <v>0.60416666666666607</v>
      </c>
      <c r="AA70" s="13">
        <f t="shared" ref="AA70:AA74" si="56">Z70+AH70</f>
        <v>0.60416666666666607</v>
      </c>
      <c r="AB70" s="14" t="b">
        <f>IF(Allgemeines!$E$20&gt;=3,IF(AC70="","",3))</f>
        <v>0</v>
      </c>
      <c r="AC70" s="15" t="str">
        <f>AC68</f>
        <v/>
      </c>
      <c r="AD70" s="15">
        <v>2</v>
      </c>
      <c r="AE70" s="15" t="b">
        <f>IF(Allgemeines!$E$20&gt;=3,IF(OR(ROUNDUP((AE68/2)/6,0)*6=6,VLOOKUP(AE68,Hilfstabelle!$F$2:$G$61,2,FALSE)&lt;=6,AC70="Pause"),0,VLOOKUP(AE68,Hilfstabelle!$F$2:$G$61,2,FALSE)))</f>
        <v>0</v>
      </c>
      <c r="AF70" s="15" t="b">
        <f>IF(Allgemeines!$E$20&gt;=3,IF(AC70="Pause","",IF(AE70=0,,ROUNDUP(AE70/IFERROR(IF(MATCH(AC70,Hilfstabelle!$A$1:$A$71,0)&gt;=1,IF(MID(AC70,LEN(AC70)-4,1)="D",Allgemeines!$E$23,IF(MID(AC70,LEN(AC70)-4,1)="C",Allgemeines!$E$24,IF(MID(AC70,LEN(AC70)-4,1)="B",Allgemeines!$E$25,IF(MID(AC70,LEN(AC70)-4,1)="A",Allgemeines!$E$26,IF(MID(AC70,LEN(AC70)-4,1)="S",Allgemeines!$E$27,)))))),""),0))))</f>
        <v>0</v>
      </c>
      <c r="AG70" s="15" t="b">
        <f>IF(Allgemeines!$E$20&gt;=3,IFERROR(IF(MATCH(AC70,Hilfstabelle!$A$1:$A$71,0)&gt;=1,IF(MID(AC70,LEN(AC70)-4,1)="D",3,IF(MID(AC70,LEN(AC70)-4,1)="C",4,5))),""))</f>
        <v>0</v>
      </c>
      <c r="AH70" s="16" t="str">
        <f>IFERROR(IF(AND(AH69=0,IF(IFERROR(FIND("Finale",AD70,1),FALSE)=1,FALSE)),0,IF(AND(AC70&lt;&gt;"Pause",AD70&lt;&gt;"Finale",AE70&gt;1),CONCATENATE("00:",AG70*AF70*Allgemeines!$E$33),IF(AND(AC70="Pause",AD69=1,IFERROR(FIND("SE",AD70,1),0)),Allgemeines!$E$36*AF68,IF(IFERROR(FIND("Finale",AD70,1),0)&gt;0,TIME(0,20,0)*AF70,IF(AND(AC70="Pause",AH69&lt;&gt;0),Allgemeines!$E$30,TIME(0,0,0)))))),TIME(0,0,0))</f>
        <v>00:0</v>
      </c>
    </row>
    <row r="71" spans="1:34" x14ac:dyDescent="0.25">
      <c r="A71" s="45"/>
      <c r="B71" s="43"/>
      <c r="C71" s="44"/>
      <c r="D71" s="12">
        <f t="shared" si="51"/>
        <v>0.18750000000000006</v>
      </c>
      <c r="E71" s="10">
        <f t="shared" si="52"/>
        <v>6.9444444444444441E-3</v>
      </c>
      <c r="F71" s="32">
        <f t="shared" si="53"/>
        <v>0.1944444444444445</v>
      </c>
      <c r="G71" s="40"/>
      <c r="H71" s="12">
        <f t="shared" si="11"/>
        <v>0.60416666666666607</v>
      </c>
      <c r="I71" s="13">
        <f t="shared" si="54"/>
        <v>0.61111111111111049</v>
      </c>
      <c r="J71" s="34"/>
      <c r="K71" s="15" t="s">
        <v>10</v>
      </c>
      <c r="L71" s="15"/>
      <c r="M71" s="15"/>
      <c r="N71" s="15" t="b">
        <f>IF(Allgemeines!$E$20&gt;=1,IF(K71="Pause","",IF(M71=0,,ROUNDUP(M71/IFERROR(IF(MATCH(K71,Hilfstabelle!$A$1:$A$71,0)&gt;=1,IF(MID(K71,LEN(K71)-4,1)="D",Allgemeines!$E$23,IF(MID(K71,LEN(K71)-4,1)="C",Allgemeines!$E$24,IF(MID(K71,LEN(K71)-4,1)="B",Allgemeines!$E$25,IF(MID(K71,LEN(K71)-4,1)="A",Allgemeines!$E$26,IF(MID(K71,LEN(K71)-4,1)="S",Allgemeines!$E$27,)))))),""),0))))</f>
        <v>0</v>
      </c>
      <c r="O71" s="15" t="b">
        <f>IF(Allgemeines!$E$20&gt;=1,IFERROR(IF(MATCH(K71,Hilfstabelle!$A$1:$A$71,0)&gt;=1,IF(MID(K71,LEN(K71)-4,1)="D",3,IF(MID(K71,LEN(K71)-4,1)="C",4,5))),""))</f>
        <v>0</v>
      </c>
      <c r="P71" s="16">
        <f>IFERROR(IF(AND(P70=0,IF(IFERROR(FIND("Finale",L71,1),FALSE)=1,FALSE)),0,IF(AND(K71&lt;&gt;"Pause",L71&lt;&gt;"Finale",M71&gt;1),CONCATENATE("00:",O71*N71*Allgemeines!$E$33),IF(AND(K71="Pause",L70=1,IFERROR(FIND("SE",L71,1),0)),Allgemeines!$E$36*N69,IF(IFERROR(FIND("Finale",L71,1),0)&gt;0,TIME(0,20,0)*N71,IF(AND(K71="Pause",P70&lt;&gt;0),Allgemeines!$E$30,TIME(0,0,0)))))),TIME(0,0,0))</f>
        <v>6.9444444444444441E-3</v>
      </c>
      <c r="Q71" s="12">
        <f t="shared" ref="Q71:Q74" si="57">R70</f>
        <v>0.60416666666666607</v>
      </c>
      <c r="R71" s="13">
        <f t="shared" si="55"/>
        <v>0.61111111111111049</v>
      </c>
      <c r="S71" s="14"/>
      <c r="T71" s="15" t="s">
        <v>10</v>
      </c>
      <c r="U71" s="15"/>
      <c r="V71" s="15"/>
      <c r="W71" s="15" t="b">
        <f>IF(Allgemeines!$E$20&gt;=2,IF(T71="Pause","",IF(V71=0,,ROUNDUP(V71/IFERROR(IF(MATCH(T71,Hilfstabelle!$A$1:$A$71,0)&gt;=1,IF(MID(T71,LEN(T71)-4,1)="D",Allgemeines!$E$23,IF(MID(T71,LEN(T71)-4,1)="C",Allgemeines!$E$24,IF(MID(T71,LEN(T71)-4,1)="B",Allgemeines!$E$25,IF(MID(T71,LEN(T71)-4,1)="A",Allgemeines!$E$26,IF(MID(T71,LEN(T71)-4,1)="S",Allgemeines!$E$27,)))))),""),0))))</f>
        <v>0</v>
      </c>
      <c r="X71" s="15" t="b">
        <f>IF(Allgemeines!$E$20&gt;=2,IFERROR(IF(MATCH(T71,Hilfstabelle!$A$1:$A$71,0)&gt;=1,IF(MID(T71,LEN(T71)-4,1)="D",3,IF(MID(T71,LEN(T71)-4,1)="C",4,5))),""))</f>
        <v>0</v>
      </c>
      <c r="Y71" s="16">
        <f>IFERROR(IF(AND(Y70=0,IF(IFERROR(FIND("Finale",U71,1),FALSE)=1,FALSE)),0,IF(AND(T71&lt;&gt;"Pause",U71&lt;&gt;"Finale",V71&gt;1),CONCATENATE("00:",X71*W71*Allgemeines!$E$33),IF(AND(T71="Pause",U70=1,IFERROR(FIND("SE",U71,1),0)),Allgemeines!$E$36*W69,IF(IFERROR(FIND("Finale",U71,1),0)&gt;0,TIME(0,20,0)*W71,IF(AND(T71="Pause",Y70&lt;&gt;0),Allgemeines!$E$30,TIME(0,0,0)))))),TIME(0,0,0))</f>
        <v>6.9444444444444441E-3</v>
      </c>
      <c r="Z71" s="12">
        <f t="shared" ref="Z71:Z74" si="58">AA70</f>
        <v>0.60416666666666607</v>
      </c>
      <c r="AA71" s="13">
        <f t="shared" si="56"/>
        <v>0.61111111111111049</v>
      </c>
      <c r="AB71" s="14"/>
      <c r="AC71" s="15" t="s">
        <v>10</v>
      </c>
      <c r="AD71" s="15"/>
      <c r="AE71" s="15"/>
      <c r="AF71" s="15" t="b">
        <f>IF(Allgemeines!$E$20&gt;=3,IF(AC71="Pause","",IF(AE71=0,,ROUNDUP(AE71/IFERROR(IF(MATCH(AC71,Hilfstabelle!$A$1:$A$71,0)&gt;=1,IF(MID(AC71,LEN(AC71)-4,1)="D",Allgemeines!$E$23,IF(MID(AC71,LEN(AC71)-4,1)="C",Allgemeines!$E$24,IF(MID(AC71,LEN(AC71)-4,1)="B",Allgemeines!$E$25,IF(MID(AC71,LEN(AC71)-4,1)="A",Allgemeines!$E$26,IF(MID(AC71,LEN(AC71)-4,1)="S",Allgemeines!$E$27,)))))),""),0))))</f>
        <v>0</v>
      </c>
      <c r="AG71" s="15" t="b">
        <f>IF(Allgemeines!$E$20&gt;=3,IFERROR(IF(MATCH(AC71,Hilfstabelle!$A$1:$A$71,0)&gt;=1,IF(MID(AC71,LEN(AC71)-4,1)="D",3,IF(MID(AC71,LEN(AC71)-4,1)="C",4,5))),""))</f>
        <v>0</v>
      </c>
      <c r="AH71" s="16">
        <f>IFERROR(IF(AND(AH70=0,IF(IFERROR(FIND("Finale",AD71,1),FALSE)=1,FALSE)),0,IF(AND(AC71&lt;&gt;"Pause",AD71&lt;&gt;"Finale",AE71&gt;1),CONCATENATE("00:",AG71*AF71*Allgemeines!$E$33),IF(AND(AC71="Pause",AD70=1,IFERROR(FIND("SE",AD71,1),0)),Allgemeines!$E$36*AF69,IF(IFERROR(FIND("Finale",AD71,1),0)&gt;0,TIME(0,20,0)*AF71,IF(AND(AC71="Pause",AH70&lt;&gt;0),Allgemeines!$E$30,TIME(0,0,0)))))),TIME(0,0,0))</f>
        <v>6.9444444444444441E-3</v>
      </c>
    </row>
    <row r="72" spans="1:34" x14ac:dyDescent="0.25">
      <c r="A72" s="45"/>
      <c r="B72" s="43"/>
      <c r="C72" s="44"/>
      <c r="D72" s="12">
        <f t="shared" si="51"/>
        <v>0.1944444444444445</v>
      </c>
      <c r="E72" s="10" t="str">
        <f t="shared" si="52"/>
        <v>00:0</v>
      </c>
      <c r="F72" s="32">
        <f t="shared" si="53"/>
        <v>0.1944444444444445</v>
      </c>
      <c r="G72" s="40"/>
      <c r="H72" s="12">
        <f t="shared" si="11"/>
        <v>0.61111111111111049</v>
      </c>
      <c r="I72" s="13">
        <f t="shared" si="54"/>
        <v>0.61111111111111049</v>
      </c>
      <c r="J72" s="34" t="b">
        <f>IF(Allgemeines!$E$20&gt;=1,IF(K72="","",1))</f>
        <v>0</v>
      </c>
      <c r="K72" s="15" t="str">
        <f>K68</f>
        <v/>
      </c>
      <c r="L72" s="15">
        <v>3</v>
      </c>
      <c r="M72" s="15" t="b">
        <f>IF(Allgemeines!$E$20&gt;=1,IFERROR(IF(OR(ROUNDUP((M70/2)/6,0)*6=6,VLOOKUP(M70,Hilfstabelle!$F$2:$G$61,2,FALSE)&lt;6,K72="Pause"),0,VLOOKUP(M70,Hilfstabelle!$F$2:$G$61,2,FALSE)),0))</f>
        <v>0</v>
      </c>
      <c r="N72" s="15" t="b">
        <f>IF(Allgemeines!$E$20&gt;=1,IF(K72="Pause","",IF(M72=0,,ROUNDUP(M72/IFERROR(IF(MATCH(K72,Hilfstabelle!$A$1:$A$71,0)&gt;=1,IF(MID(K72,LEN(K72)-4,1)="D",Allgemeines!$E$23,IF(MID(K72,LEN(K72)-4,1)="C",Allgemeines!$E$24,IF(MID(K72,LEN(K72)-4,1)="B",Allgemeines!$E$25,IF(MID(K72,LEN(K72)-4,1)="A",Allgemeines!$E$26,IF(MID(K72,LEN(K72)-4,1)="S",Allgemeines!$E$27,)))))),""),0))))</f>
        <v>0</v>
      </c>
      <c r="O72" s="15" t="b">
        <f>IF(Allgemeines!$E$20&gt;=1,IFERROR(IF(MATCH(K72,Hilfstabelle!$A$1:$A$71,0)&gt;=1,IF(MID(K72,LEN(K72)-4,1)="D",3,IF(MID(K72,LEN(K72)-4,1)="C",4,5))),""))</f>
        <v>0</v>
      </c>
      <c r="P72" s="16" t="str">
        <f>IFERROR(IF(AND(P71=0,IF(IFERROR(FIND("Finale",L72,1),FALSE)=1,FALSE)),0,IF(AND(K72&lt;&gt;"Pause",L72&lt;&gt;"Finale",M72&gt;1),CONCATENATE("00:",O72*N72*Allgemeines!$E$33),IF(AND(K72="Pause",L71=1,IFERROR(FIND("SE",L72,1),0)),Allgemeines!$E$36*N70,IF(IFERROR(FIND("Finale",L72,1),0)&gt;0,TIME(0,20,0)*N72,IF(AND(K72="Pause",P71&lt;&gt;0),Allgemeines!$E$30,TIME(0,0,0)))))),TIME(0,0,0))</f>
        <v>00:0</v>
      </c>
      <c r="Q72" s="12">
        <f t="shared" si="57"/>
        <v>0.61111111111111049</v>
      </c>
      <c r="R72" s="13">
        <f t="shared" si="55"/>
        <v>0.61111111111111049</v>
      </c>
      <c r="S72" s="14" t="b">
        <f>IF(Allgemeines!$E$20&gt;=2,IF(T72="","",2))</f>
        <v>0</v>
      </c>
      <c r="T72" s="15" t="str">
        <f>T68</f>
        <v/>
      </c>
      <c r="U72" s="15">
        <v>3</v>
      </c>
      <c r="V72" s="15" t="str">
        <f>IF(Allgemeines!$E$20&gt;=2,IFERROR(IF(OR(ROUNDUP((V70/2)/6,0)*6=6,VLOOKUP(V70,Hilfstabelle!$F$2:$G$61,2,FALSE)&lt;6,T72="Pause"),0,VLOOKUP(V70,Hilfstabelle!$F$2:$G$61,2,FALSE)),0),"")</f>
        <v/>
      </c>
      <c r="W72" s="15" t="b">
        <f>IF(Allgemeines!$E$20&gt;=2,IF(T72="Pause","",IF(V72=0,,ROUNDUP(V72/IFERROR(IF(MATCH(T72,Hilfstabelle!$A$1:$A$71,0)&gt;=1,IF(MID(T72,LEN(T72)-4,1)="D",Allgemeines!$E$23,IF(MID(T72,LEN(T72)-4,1)="C",Allgemeines!$E$24,IF(MID(T72,LEN(T72)-4,1)="B",Allgemeines!$E$25,IF(MID(T72,LEN(T72)-4,1)="A",Allgemeines!$E$26,IF(MID(T72,LEN(T72)-4,1)="S",Allgemeines!$E$27,)))))),""),0))))</f>
        <v>0</v>
      </c>
      <c r="X72" s="15" t="b">
        <f>IF(Allgemeines!$E$20&gt;=2,IFERROR(IF(MATCH(T72,Hilfstabelle!$A$1:$A$71,0)&gt;=1,IF(MID(T72,LEN(T72)-4,1)="D",3,IF(MID(T72,LEN(T72)-4,1)="C",4,5))),""))</f>
        <v>0</v>
      </c>
      <c r="Y72" s="16" t="str">
        <f>IFERROR(IF(AND(Y71=0,IF(IFERROR(FIND("Finale",U72,1),FALSE)=1,FALSE)),0,IF(AND(T72&lt;&gt;"Pause",U72&lt;&gt;"Finale",V72&gt;1),CONCATENATE("00:",X72*W72*Allgemeines!$E$33),IF(AND(T72="Pause",U71=1,IFERROR(FIND("SE",U72,1),0)),Allgemeines!$E$36*W70,IF(IFERROR(FIND("Finale",U72,1),0)&gt;0,TIME(0,20,0)*W72,IF(AND(T72="Pause",Y71&lt;&gt;0),Allgemeines!$E$30,TIME(0,0,0)))))),TIME(0,0,0))</f>
        <v>00:0</v>
      </c>
      <c r="Z72" s="12">
        <f t="shared" si="58"/>
        <v>0.61111111111111049</v>
      </c>
      <c r="AA72" s="13">
        <f t="shared" si="56"/>
        <v>0.61111111111111049</v>
      </c>
      <c r="AB72" s="14" t="b">
        <f>IF(Allgemeines!$E$20&gt;=3,IF(AC72="","",3))</f>
        <v>0</v>
      </c>
      <c r="AC72" s="15" t="str">
        <f>AC68</f>
        <v/>
      </c>
      <c r="AD72" s="15">
        <v>3</v>
      </c>
      <c r="AE72" s="15" t="str">
        <f>IF(Allgemeines!$E$20&gt;=3,IFERROR(IF(OR(ROUNDUP((AE70/2)/6,0)*6=6,VLOOKUP(AE70,Hilfstabelle!$F$2:$G$61,2,FALSE)&lt;6,AC72="Pause"),0,VLOOKUP(AE70,Hilfstabelle!$F$2:$G$61,2,FALSE)),0),"")</f>
        <v/>
      </c>
      <c r="AF72" s="15" t="b">
        <f>IF(Allgemeines!$E$20&gt;=3,IF(AC72="Pause","",IF(AE72=0,,ROUNDUP(AE72/IFERROR(IF(MATCH(AC72,Hilfstabelle!$A$1:$A$71,0)&gt;=1,IF(MID(AC72,LEN(AC72)-4,1)="D",Allgemeines!$E$23,IF(MID(AC72,LEN(AC72)-4,1)="C",Allgemeines!$E$24,IF(MID(AC72,LEN(AC72)-4,1)="B",Allgemeines!$E$25,IF(MID(AC72,LEN(AC72)-4,1)="A",Allgemeines!$E$26,IF(MID(AC72,LEN(AC72)-4,1)="S",Allgemeines!$E$27,)))))),""),0))))</f>
        <v>0</v>
      </c>
      <c r="AG72" s="15" t="b">
        <f>IF(Allgemeines!$E$20&gt;=3,IFERROR(IF(MATCH(AC72,Hilfstabelle!$A$1:$A$71,0)&gt;=1,IF(MID(AC72,LEN(AC72)-4,1)="D",3,IF(MID(AC72,LEN(AC72)-4,1)="C",4,5))),""))</f>
        <v>0</v>
      </c>
      <c r="AH72" s="16" t="str">
        <f>IFERROR(IF(AND(AH71=0,IF(IFERROR(FIND("Finale",AD72,1),FALSE)=1,FALSE)),0,IF(AND(AC72&lt;&gt;"Pause",AD72&lt;&gt;"Finale",AE72&gt;1),CONCATENATE("00:",AG72*AF72*Allgemeines!$E$33),IF(AND(AC72="Pause",AD71=1,IFERROR(FIND("SE",AD72,1),0)),Allgemeines!$E$36*AF70,IF(IFERROR(FIND("Finale",AD72,1),0)&gt;0,TIME(0,20,0)*AF72,IF(AND(AC72="Pause",AH71&lt;&gt;0),Allgemeines!$E$30,TIME(0,0,0)))))),TIME(0,0,0))</f>
        <v>00:0</v>
      </c>
    </row>
    <row r="73" spans="1:34" x14ac:dyDescent="0.25">
      <c r="A73" s="45"/>
      <c r="B73" s="43"/>
      <c r="C73" s="44"/>
      <c r="D73" s="12">
        <f t="shared" si="51"/>
        <v>0.1944444444444445</v>
      </c>
      <c r="E73" s="10">
        <f t="shared" si="52"/>
        <v>6.9444444444444441E-3</v>
      </c>
      <c r="F73" s="32">
        <f t="shared" si="53"/>
        <v>0.20138888888888895</v>
      </c>
      <c r="G73" s="40"/>
      <c r="H73" s="12">
        <f t="shared" si="11"/>
        <v>0.61111111111111049</v>
      </c>
      <c r="I73" s="13">
        <f t="shared" si="54"/>
        <v>0.61805555555555491</v>
      </c>
      <c r="J73" s="34"/>
      <c r="K73" s="15" t="s">
        <v>10</v>
      </c>
      <c r="L73" s="15"/>
      <c r="M73" s="15"/>
      <c r="N73" s="15" t="b">
        <f>IF(Allgemeines!$E$20&gt;=1,IF(K73="Pause","",IF(M73=0,,ROUNDUP(M73/IFERROR(IF(MATCH(K73,Hilfstabelle!$A$1:$A$71,0)&gt;=1,IF(MID(K73,LEN(K73)-4,1)="D",Allgemeines!$E$23,IF(MID(K73,LEN(K73)-4,1)="C",Allgemeines!$E$24,IF(MID(K73,LEN(K73)-4,1)="B",Allgemeines!$E$25,IF(MID(K73,LEN(K73)-4,1)="A",Allgemeines!$E$26,IF(MID(K73,LEN(K73)-4,1)="S",Allgemeines!$E$27,)))))),""),0))))</f>
        <v>0</v>
      </c>
      <c r="O73" s="15" t="b">
        <f>IF(Allgemeines!$E$20&gt;=1,IFERROR(IF(MATCH(K73,Hilfstabelle!$A$1:$A$71,0)&gt;=1,IF(MID(K73,LEN(K73)-4,1)="D",3,IF(MID(K73,LEN(K73)-4,1)="C",4,5))),""))</f>
        <v>0</v>
      </c>
      <c r="P73" s="16">
        <f>IFERROR(IF(AND(P72=0,IF(IFERROR(FIND("Finale",L73,1),FALSE)=1,FALSE)),0,IF(AND(K73&lt;&gt;"Pause",L73&lt;&gt;"Finale",M73&gt;1),CONCATENATE("00:",O73*N73*Allgemeines!$E$33),IF(AND(K73="Pause",L72=1,IFERROR(FIND("SE",L73,1),0)),Allgemeines!$E$36*N71,IF(IFERROR(FIND("Finale",L73,1),0)&gt;0,TIME(0,20,0)*N73,IF(AND(K73="Pause",P72&lt;&gt;0),Allgemeines!$E$30,TIME(0,0,0)))))),TIME(0,0,0))</f>
        <v>6.9444444444444441E-3</v>
      </c>
      <c r="Q73" s="12">
        <f t="shared" si="57"/>
        <v>0.61111111111111049</v>
      </c>
      <c r="R73" s="13">
        <f t="shared" si="55"/>
        <v>0.61805555555555491</v>
      </c>
      <c r="S73" s="14"/>
      <c r="T73" s="15" t="s">
        <v>10</v>
      </c>
      <c r="U73" s="15"/>
      <c r="V73" s="15"/>
      <c r="W73" s="15" t="b">
        <f>IF(Allgemeines!$E$20&gt;=2,IF(T73="Pause","",IF(V73=0,,ROUNDUP(V73/IFERROR(IF(MATCH(T73,Hilfstabelle!$A$1:$A$71,0)&gt;=1,IF(MID(T73,LEN(T73)-4,1)="D",Allgemeines!$E$23,IF(MID(T73,LEN(T73)-4,1)="C",Allgemeines!$E$24,IF(MID(T73,LEN(T73)-4,1)="B",Allgemeines!$E$25,IF(MID(T73,LEN(T73)-4,1)="A",Allgemeines!$E$26,IF(MID(T73,LEN(T73)-4,1)="S",Allgemeines!$E$27,)))))),""),0))))</f>
        <v>0</v>
      </c>
      <c r="X73" s="15" t="b">
        <f>IF(Allgemeines!$E$20&gt;=2,IFERROR(IF(MATCH(T73,Hilfstabelle!$A$1:$A$71,0)&gt;=1,IF(MID(T73,LEN(T73)-4,1)="D",3,IF(MID(T73,LEN(T73)-4,1)="C",4,5))),""))</f>
        <v>0</v>
      </c>
      <c r="Y73" s="16">
        <f>IFERROR(IF(AND(Y72=0,IF(IFERROR(FIND("Finale",U73,1),FALSE)=1,FALSE)),0,IF(AND(T73&lt;&gt;"Pause",U73&lt;&gt;"Finale",V73&gt;1),CONCATENATE("00:",X73*W73*Allgemeines!$E$33),IF(AND(T73="Pause",U72=1,IFERROR(FIND("SE",U73,1),0)),Allgemeines!$E$36*W71,IF(IFERROR(FIND("Finale",U73,1),0)&gt;0,TIME(0,20,0)*W73,IF(AND(T73="Pause",Y72&lt;&gt;0),Allgemeines!$E$30,TIME(0,0,0)))))),TIME(0,0,0))</f>
        <v>6.9444444444444441E-3</v>
      </c>
      <c r="Z73" s="12">
        <f t="shared" si="58"/>
        <v>0.61111111111111049</v>
      </c>
      <c r="AA73" s="13">
        <f t="shared" si="56"/>
        <v>0.61805555555555491</v>
      </c>
      <c r="AB73" s="14"/>
      <c r="AC73" s="15" t="s">
        <v>10</v>
      </c>
      <c r="AD73" s="15"/>
      <c r="AE73" s="15"/>
      <c r="AF73" s="15" t="b">
        <f>IF(Allgemeines!$E$20&gt;=3,IF(AC73="Pause","",IF(AE73=0,,ROUNDUP(AE73/IFERROR(IF(MATCH(AC73,Hilfstabelle!$A$1:$A$71,0)&gt;=1,IF(MID(AC73,LEN(AC73)-4,1)="D",Allgemeines!$E$23,IF(MID(AC73,LEN(AC73)-4,1)="C",Allgemeines!$E$24,IF(MID(AC73,LEN(AC73)-4,1)="B",Allgemeines!$E$25,IF(MID(AC73,LEN(AC73)-4,1)="A",Allgemeines!$E$26,IF(MID(AC73,LEN(AC73)-4,1)="S",Allgemeines!$E$27,)))))),""),0))))</f>
        <v>0</v>
      </c>
      <c r="AG73" s="15" t="b">
        <f>IF(Allgemeines!$E$20&gt;=3,IFERROR(IF(MATCH(AC73,Hilfstabelle!$A$1:$A$71,0)&gt;=1,IF(MID(AC73,LEN(AC73)-4,1)="D",3,IF(MID(AC73,LEN(AC73)-4,1)="C",4,5))),""))</f>
        <v>0</v>
      </c>
      <c r="AH73" s="16">
        <f>IFERROR(IF(AND(AH72=0,IF(IFERROR(FIND("Finale",AD73,1),FALSE)=1,FALSE)),0,IF(AND(AC73&lt;&gt;"Pause",AD73&lt;&gt;"Finale",AE73&gt;1),CONCATENATE("00:",AG73*AF73*Allgemeines!$E$33),IF(AND(AC73="Pause",AD72=1,IFERROR(FIND("SE",AD73,1),0)),Allgemeines!$E$36*AF71,IF(IFERROR(FIND("Finale",AD73,1),0)&gt;0,TIME(0,20,0)*AF73,IF(AND(AC73="Pause",AH72&lt;&gt;0),Allgemeines!$E$30,TIME(0,0,0)))))),TIME(0,0,0))</f>
        <v>6.9444444444444441E-3</v>
      </c>
    </row>
    <row r="74" spans="1:34" x14ac:dyDescent="0.25">
      <c r="A74" s="48"/>
      <c r="B74" s="49"/>
      <c r="C74" s="50">
        <f>A68+B68</f>
        <v>0</v>
      </c>
      <c r="D74" s="19">
        <f t="shared" si="51"/>
        <v>0.20138888888888895</v>
      </c>
      <c r="E74" s="17" t="str">
        <f t="shared" si="52"/>
        <v>00:0</v>
      </c>
      <c r="F74" s="37">
        <f>D74+E74</f>
        <v>0.20138888888888895</v>
      </c>
      <c r="G74" s="41">
        <f>F74-D68</f>
        <v>2.0833333333333343E-2</v>
      </c>
      <c r="H74" s="19">
        <f t="shared" si="11"/>
        <v>0.61805555555555491</v>
      </c>
      <c r="I74" s="33">
        <f t="shared" si="54"/>
        <v>0.61805555555555491</v>
      </c>
      <c r="J74" s="35" t="str">
        <f>IF(K74="","",1)</f>
        <v/>
      </c>
      <c r="K74" s="21" t="str">
        <f>K68</f>
        <v/>
      </c>
      <c r="L74" s="21" t="str">
        <f>IF(Allgemeines!$E$20&gt;=1,IF(Allgemeines!$E$39="x","Finale + SE","Finale"),"")</f>
        <v/>
      </c>
      <c r="M74" s="21" t="b">
        <f>IF(Allgemeines!$E$20&gt;=1,IF(M68&gt;6,6,M68))</f>
        <v>0</v>
      </c>
      <c r="N74" s="21" t="b">
        <f>IF(Allgemeines!$E$20&gt;=1,IF(K74="Pause","",IF(M74=0,,ROUNDUP(M74/IFERROR(IF(MATCH(K74,Hilfstabelle!$A$1:$A$71,0)&gt;=1,IF(MID(K74,LEN(K74)-4,1)="D",Allgemeines!$E$23,IF(MID(K74,LEN(K74)-4,1)="C",Allgemeines!$E$24,IF(MID(K74,LEN(K74)-4,1)="B",Allgemeines!$E$25,IF(MID(K74,LEN(K74)-4,1)="A",Allgemeines!$E$26,IF(MID(K74,LEN(K74)-4,1)="S",Allgemeines!$E$27,)))))),""),0))))</f>
        <v>0</v>
      </c>
      <c r="O74" s="21" t="b">
        <f>IF(Allgemeines!$E$20&gt;=1,IFERROR(IF(MATCH(K74,Hilfstabelle!$A$1:$A$71,0)&gt;=1,IF(MID(K74,LEN(K74)-4,1)="D",3,IF(MID(K74,LEN(K74)-4,1)="C",4,5))),""))</f>
        <v>0</v>
      </c>
      <c r="P74" s="22" t="str">
        <f>IFERROR(IF(AND(P73=0,IF(IFERROR(FIND("Finale",L74,1),FALSE)=1,FALSE)),0,IF(AND(K74&lt;&gt;"Pause",L74&lt;&gt;"Finale",M74&gt;1),CONCATENATE("00:",O74*N74*Allgemeines!$E$33),IF(AND(K74="Pause",L73=1,IFERROR(FIND("SE",L74,1),0)),Allgemeines!$E$36*N72,IF(IFERROR(FIND("Finale",L74,1),0)&gt;0,TIME(0,20,0)*N74,IF(AND(K74="Pause",P73&lt;&gt;0),Allgemeines!$E$30,TIME(0,0,0)))))),TIME(0,0,0))</f>
        <v>00:0</v>
      </c>
      <c r="Q74" s="19">
        <f t="shared" si="57"/>
        <v>0.61805555555555491</v>
      </c>
      <c r="R74" s="18">
        <f t="shared" si="55"/>
        <v>0.61805555555555491</v>
      </c>
      <c r="S74" s="20" t="str">
        <f>IF(T74="","",2)</f>
        <v/>
      </c>
      <c r="T74" s="21" t="str">
        <f>T68</f>
        <v/>
      </c>
      <c r="U74" s="21" t="str">
        <f>IF(Allgemeines!$E$20&gt;=2,IF(Allgemeines!$E$39="x","Finale + SE","Finale"),"")</f>
        <v/>
      </c>
      <c r="V74" s="21" t="str">
        <f>IF(Allgemeines!$E$20&gt;=2,IF(V68&gt;6,6,V68),"")</f>
        <v/>
      </c>
      <c r="W74" s="21" t="b">
        <f>IF(Allgemeines!$E$20&gt;=2,IF(T74="Pause","",IF(V74=0,,ROUNDUP(V74/IFERROR(IF(MATCH(T74,Hilfstabelle!$A$1:$A$71,0)&gt;=1,IF(MID(T74,LEN(T74)-4,1)="D",Allgemeines!$E$23,IF(MID(T74,LEN(T74)-4,1)="C",Allgemeines!$E$24,IF(MID(T74,LEN(T74)-4,1)="B",Allgemeines!$E$25,IF(MID(T74,LEN(T74)-4,1)="A",Allgemeines!$E$26,IF(MID(T74,LEN(T74)-4,1)="S",Allgemeines!$E$27,)))))),""),0))))</f>
        <v>0</v>
      </c>
      <c r="X74" s="21" t="b">
        <f>IF(Allgemeines!$E$20&gt;=2,IFERROR(IF(MATCH(T74,Hilfstabelle!$A$1:$A$71,0)&gt;=1,IF(MID(T74,LEN(T74)-4,1)="D",3,IF(MID(T74,LEN(T74)-4,1)="C",4,5))),""))</f>
        <v>0</v>
      </c>
      <c r="Y74" s="22" t="str">
        <f>IFERROR(IF(AND(Y73=0,IF(IFERROR(FIND("Finale",U74,1),FALSE)=1,FALSE)),0,IF(AND(T74&lt;&gt;"Pause",U74&lt;&gt;"Finale",V74&gt;1),CONCATENATE("00:",X74*W74*Allgemeines!$E$33),IF(AND(T74="Pause",U73=1,IFERROR(FIND("SE",U74,1),0)),Allgemeines!$E$36*W72,IF(IFERROR(FIND("Finale",U74,1),0)&gt;0,TIME(0,20,0)*W74,IF(AND(T74="Pause",Y73&lt;&gt;0),Allgemeines!$E$30,TIME(0,0,0)))))),TIME(0,0,0))</f>
        <v>00:0</v>
      </c>
      <c r="Z74" s="19">
        <f t="shared" si="58"/>
        <v>0.61805555555555491</v>
      </c>
      <c r="AA74" s="18">
        <f t="shared" si="56"/>
        <v>0.61805555555555491</v>
      </c>
      <c r="AB74" s="20" t="str">
        <f>IF(AC74="","",3)</f>
        <v/>
      </c>
      <c r="AC74" s="21" t="str">
        <f>AC68</f>
        <v/>
      </c>
      <c r="AD74" s="21" t="str">
        <f>IF(Allgemeines!$E$20&gt;=3,IF(Allgemeines!$E$39="x","Finale + SE","Finale"),"")</f>
        <v/>
      </c>
      <c r="AE74" s="21" t="str">
        <f>IF(Allgemeines!$E$20&gt;=3,IF(AE68&gt;6,6,AE68),"")</f>
        <v/>
      </c>
      <c r="AF74" s="21" t="b">
        <f>IF(Allgemeines!$E$20&gt;=3,IF(AC74="Pause","",IF(AE74=0,,ROUNDUP(AE74/IFERROR(IF(MATCH(AC74,Hilfstabelle!$A$1:$A$71,0)&gt;=1,IF(MID(AC74,LEN(AC74)-4,1)="D",Allgemeines!$E$23,IF(MID(AC74,LEN(AC74)-4,1)="C",Allgemeines!$E$24,IF(MID(AC74,LEN(AC74)-4,1)="B",Allgemeines!$E$25,IF(MID(AC74,LEN(AC74)-4,1)="A",Allgemeines!$E$26,IF(MID(AC74,LEN(AC74)-4,1)="S",Allgemeines!$E$27,)))))),""),0))))</f>
        <v>0</v>
      </c>
      <c r="AG74" s="21" t="b">
        <f>IF(Allgemeines!$E$20&gt;=3,IFERROR(IF(MATCH(AC74,Hilfstabelle!$A$1:$A$71,0)&gt;=1,IF(MID(AC74,LEN(AC74)-4,1)="D",3,IF(MID(AC74,LEN(AC74)-4,1)="C",4,5))),""))</f>
        <v>0</v>
      </c>
      <c r="AH74" s="22" t="str">
        <f>IFERROR(IF(AND(AH73=0,IF(IFERROR(FIND("Finale",AD74,1),FALSE)=1,FALSE)),0,IF(AND(AC74&lt;&gt;"Pause",AD74&lt;&gt;"Finale",AE74&gt;1),CONCATENATE("00:",AG74*AF74*Allgemeines!$E$33),IF(AND(AC74="Pause",AD73=1,IFERROR(FIND("SE",AD74,1),0)),Allgemeines!$E$36*AF72,IF(IFERROR(FIND("Finale",AD74,1),0)&gt;0,TIME(0,20,0)*AF74,IF(AND(AC74="Pause",AH73&lt;&gt;0),Allgemeines!$E$30,TIME(0,0,0)))))),TIME(0,0,0))</f>
        <v>00:0</v>
      </c>
    </row>
  </sheetData>
  <sheetProtection algorithmName="SHA-512" hashValue="kBQ29eLTLbZRF/g0cVsEosOy3IWx5ZBQXe3f6sUXzuvII79AppdNsLj0mhJaOhTbjchNOEnUp+EqxkLT0uy1Zg==" saltValue="F7X3xf1rokk0XLCk1br/3Q==" spinCount="100000" sheet="1" objects="1" scenarios="1" formatColumns="0" formatRows="0"/>
  <mergeCells count="21">
    <mergeCell ref="AC3:AC4"/>
    <mergeCell ref="AB3:AB4"/>
    <mergeCell ref="Y3:Y4"/>
    <mergeCell ref="X3:X4"/>
    <mergeCell ref="AH3:AH4"/>
    <mergeCell ref="AG3:AG4"/>
    <mergeCell ref="AF3:AF4"/>
    <mergeCell ref="AE3:AE4"/>
    <mergeCell ref="AD3:AD4"/>
    <mergeCell ref="J3:J4"/>
    <mergeCell ref="W3:W4"/>
    <mergeCell ref="V3:V4"/>
    <mergeCell ref="U3:U4"/>
    <mergeCell ref="T3:T4"/>
    <mergeCell ref="S3:S4"/>
    <mergeCell ref="P3:P4"/>
    <mergeCell ref="O3:O4"/>
    <mergeCell ref="N3:N4"/>
    <mergeCell ref="M3:M4"/>
    <mergeCell ref="L3:L4"/>
    <mergeCell ref="K3:K4"/>
  </mergeCells>
  <conditionalFormatting sqref="J5:P74">
    <cfRule type="expression" dxfId="6" priority="11">
      <formula>$P5=0</formula>
    </cfRule>
  </conditionalFormatting>
  <conditionalFormatting sqref="S5:Y74">
    <cfRule type="expression" dxfId="5" priority="10">
      <formula>$Y5=0</formula>
    </cfRule>
  </conditionalFormatting>
  <conditionalFormatting sqref="AB5:AH74">
    <cfRule type="expression" dxfId="4" priority="9">
      <formula>$AH5=0</formula>
    </cfRule>
  </conditionalFormatting>
  <conditionalFormatting sqref="J5:P5 J12:P12 J19 K19:L19 M19:P19 J26:P26 J33:P33 J40:P40 J47:P47 J54:P54 J61:P61 J68:P68">
    <cfRule type="expression" dxfId="3" priority="8">
      <formula>AND(LEN($K5)&gt;3,$M5&lt;3)</formula>
    </cfRule>
  </conditionalFormatting>
  <conditionalFormatting sqref="S5:Y5 S12:Y12 S19:Y19 S26:Y26 S33:Y33 S40:Y40 S47:Y47 S54:Y54 S61:Y61 S68:Y68">
    <cfRule type="expression" dxfId="2" priority="7">
      <formula>AND(LEN($T5)&gt;3,$V5&lt;3)</formula>
    </cfRule>
  </conditionalFormatting>
  <conditionalFormatting sqref="AB5:AH5 AB12:AH12 AB19:AH19 AB26:AH26 AB33:AH33 AB40:AH40 AB47:AH47 AB54:AH54 AB61:AH61 AB68:AH68">
    <cfRule type="expression" dxfId="1" priority="2">
      <formula>AND(LEN($AC5)&gt;3,$AE5&lt;3)</formula>
    </cfRule>
  </conditionalFormatting>
  <conditionalFormatting sqref="F11 F18 F25 F32 F39 F46 F53 F60 F67 F74">
    <cfRule type="expression" dxfId="0" priority="1">
      <formula>AND(C11&lt;&gt;"00:00",F11&lt;=C11)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Header>&amp;A</oddHeader>
    <oddFooter>Seite &amp;P von &amp;N</oddFooter>
  </headerFooter>
  <rowBreaks count="1" manualBreakCount="1">
    <brk id="39" max="16383" man="1"/>
  </rowBreaks>
  <ignoredErrors>
    <ignoredError sqref="P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selection activeCell="C16" sqref="C16"/>
    </sheetView>
  </sheetViews>
  <sheetFormatPr baseColWidth="10" defaultRowHeight="15" x14ac:dyDescent="0.25"/>
  <cols>
    <col min="1" max="16384" width="11.42578125" style="4"/>
  </cols>
  <sheetData>
    <row r="1" spans="1:7" x14ac:dyDescent="0.25">
      <c r="A1" s="3" t="s">
        <v>2</v>
      </c>
      <c r="F1" s="4" t="s">
        <v>102</v>
      </c>
    </row>
    <row r="2" spans="1:7" x14ac:dyDescent="0.25">
      <c r="A2" s="5" t="s">
        <v>86</v>
      </c>
      <c r="F2" s="4">
        <v>0</v>
      </c>
      <c r="G2" s="4">
        <v>0</v>
      </c>
    </row>
    <row r="3" spans="1:7" x14ac:dyDescent="0.25">
      <c r="A3" s="5" t="s">
        <v>87</v>
      </c>
      <c r="F3" s="4">
        <v>1</v>
      </c>
      <c r="G3" s="4">
        <v>1</v>
      </c>
    </row>
    <row r="4" spans="1:7" x14ac:dyDescent="0.25">
      <c r="A4" s="6" t="s">
        <v>81</v>
      </c>
      <c r="F4" s="4">
        <v>2</v>
      </c>
      <c r="G4" s="4">
        <v>2</v>
      </c>
    </row>
    <row r="5" spans="1:7" x14ac:dyDescent="0.25">
      <c r="A5" s="6" t="s">
        <v>82</v>
      </c>
      <c r="F5" s="4">
        <v>3</v>
      </c>
      <c r="G5" s="4">
        <v>3</v>
      </c>
    </row>
    <row r="6" spans="1:7" x14ac:dyDescent="0.25">
      <c r="A6" s="7" t="s">
        <v>71</v>
      </c>
      <c r="F6" s="4">
        <v>4</v>
      </c>
      <c r="G6" s="4">
        <v>4</v>
      </c>
    </row>
    <row r="7" spans="1:7" x14ac:dyDescent="0.25">
      <c r="A7" s="7" t="s">
        <v>72</v>
      </c>
      <c r="F7" s="4">
        <v>5</v>
      </c>
      <c r="G7" s="4">
        <v>5</v>
      </c>
    </row>
    <row r="8" spans="1:7" x14ac:dyDescent="0.25">
      <c r="A8" s="8" t="s">
        <v>59</v>
      </c>
      <c r="F8" s="4">
        <v>6</v>
      </c>
      <c r="G8" s="4">
        <v>6</v>
      </c>
    </row>
    <row r="9" spans="1:7" x14ac:dyDescent="0.25">
      <c r="A9" s="8" t="s">
        <v>60</v>
      </c>
      <c r="F9" s="4">
        <v>7</v>
      </c>
      <c r="G9" s="4">
        <v>6</v>
      </c>
    </row>
    <row r="10" spans="1:7" x14ac:dyDescent="0.25">
      <c r="A10" s="5" t="s">
        <v>88</v>
      </c>
      <c r="F10" s="4">
        <v>8</v>
      </c>
      <c r="G10" s="4">
        <v>6</v>
      </c>
    </row>
    <row r="11" spans="1:7" x14ac:dyDescent="0.25">
      <c r="A11" s="5" t="s">
        <v>89</v>
      </c>
      <c r="F11" s="4">
        <v>9</v>
      </c>
      <c r="G11" s="4">
        <v>6</v>
      </c>
    </row>
    <row r="12" spans="1:7" x14ac:dyDescent="0.25">
      <c r="A12" s="6" t="s">
        <v>83</v>
      </c>
      <c r="F12" s="4">
        <v>10</v>
      </c>
      <c r="G12" s="4">
        <v>6</v>
      </c>
    </row>
    <row r="13" spans="1:7" x14ac:dyDescent="0.25">
      <c r="A13" s="6" t="s">
        <v>84</v>
      </c>
      <c r="F13" s="4">
        <v>11</v>
      </c>
      <c r="G13" s="4">
        <v>6</v>
      </c>
    </row>
    <row r="14" spans="1:7" x14ac:dyDescent="0.25">
      <c r="A14" s="7" t="s">
        <v>73</v>
      </c>
      <c r="F14" s="4">
        <v>12</v>
      </c>
      <c r="G14" s="4">
        <v>6</v>
      </c>
    </row>
    <row r="15" spans="1:7" x14ac:dyDescent="0.25">
      <c r="A15" s="7" t="s">
        <v>74</v>
      </c>
      <c r="F15" s="4">
        <v>13</v>
      </c>
      <c r="G15" s="4">
        <v>9</v>
      </c>
    </row>
    <row r="16" spans="1:7" x14ac:dyDescent="0.25">
      <c r="A16" s="8" t="s">
        <v>61</v>
      </c>
      <c r="F16" s="4">
        <v>14</v>
      </c>
      <c r="G16" s="4">
        <v>9</v>
      </c>
    </row>
    <row r="17" spans="1:7" x14ac:dyDescent="0.25">
      <c r="A17" s="8" t="s">
        <v>62</v>
      </c>
      <c r="F17" s="4">
        <v>15</v>
      </c>
      <c r="G17" s="4">
        <v>10</v>
      </c>
    </row>
    <row r="18" spans="1:7" x14ac:dyDescent="0.25">
      <c r="A18" s="9" t="s">
        <v>93</v>
      </c>
      <c r="F18" s="4">
        <v>16</v>
      </c>
      <c r="G18" s="4">
        <v>12</v>
      </c>
    </row>
    <row r="19" spans="1:7" x14ac:dyDescent="0.25">
      <c r="A19" s="9" t="s">
        <v>94</v>
      </c>
      <c r="F19" s="4">
        <v>17</v>
      </c>
      <c r="G19" s="4">
        <v>12</v>
      </c>
    </row>
    <row r="20" spans="1:7" x14ac:dyDescent="0.25">
      <c r="A20" s="9" t="s">
        <v>91</v>
      </c>
      <c r="F20" s="4">
        <v>18</v>
      </c>
      <c r="G20" s="4">
        <v>12</v>
      </c>
    </row>
    <row r="21" spans="1:7" x14ac:dyDescent="0.25">
      <c r="A21" s="9" t="s">
        <v>92</v>
      </c>
      <c r="F21" s="4">
        <v>19</v>
      </c>
      <c r="G21" s="4">
        <v>12</v>
      </c>
    </row>
    <row r="22" spans="1:7" x14ac:dyDescent="0.25">
      <c r="A22" s="5" t="s">
        <v>96</v>
      </c>
      <c r="F22" s="4">
        <v>20</v>
      </c>
      <c r="G22" s="4">
        <v>12</v>
      </c>
    </row>
    <row r="23" spans="1:7" x14ac:dyDescent="0.25">
      <c r="A23" s="5" t="s">
        <v>97</v>
      </c>
      <c r="F23" s="4">
        <v>21</v>
      </c>
      <c r="G23" s="4">
        <v>12</v>
      </c>
    </row>
    <row r="24" spans="1:7" x14ac:dyDescent="0.25">
      <c r="A24" s="6" t="s">
        <v>79</v>
      </c>
      <c r="F24" s="4">
        <v>22</v>
      </c>
      <c r="G24" s="4">
        <v>12</v>
      </c>
    </row>
    <row r="25" spans="1:7" x14ac:dyDescent="0.25">
      <c r="A25" s="6" t="s">
        <v>80</v>
      </c>
      <c r="F25" s="4">
        <v>23</v>
      </c>
      <c r="G25" s="4">
        <v>12</v>
      </c>
    </row>
    <row r="26" spans="1:7" x14ac:dyDescent="0.25">
      <c r="A26" s="7" t="s">
        <v>69</v>
      </c>
      <c r="F26" s="4">
        <v>24</v>
      </c>
      <c r="G26" s="4">
        <v>12</v>
      </c>
    </row>
    <row r="27" spans="1:7" x14ac:dyDescent="0.25">
      <c r="A27" s="7" t="s">
        <v>70</v>
      </c>
      <c r="F27" s="4">
        <v>25</v>
      </c>
      <c r="G27" s="4">
        <v>18</v>
      </c>
    </row>
    <row r="28" spans="1:7" x14ac:dyDescent="0.25">
      <c r="A28" s="8" t="s">
        <v>57</v>
      </c>
      <c r="F28" s="4">
        <v>26</v>
      </c>
      <c r="G28" s="4">
        <v>18</v>
      </c>
    </row>
    <row r="29" spans="1:7" x14ac:dyDescent="0.25">
      <c r="A29" s="8" t="s">
        <v>58</v>
      </c>
      <c r="F29" s="4">
        <v>27</v>
      </c>
      <c r="G29" s="4">
        <v>18</v>
      </c>
    </row>
    <row r="30" spans="1:7" x14ac:dyDescent="0.25">
      <c r="A30" s="6" t="s">
        <v>75</v>
      </c>
      <c r="F30" s="4">
        <v>28</v>
      </c>
      <c r="G30" s="4">
        <v>24</v>
      </c>
    </row>
    <row r="31" spans="1:7" x14ac:dyDescent="0.25">
      <c r="A31" s="6" t="s">
        <v>76</v>
      </c>
      <c r="F31" s="4">
        <v>29</v>
      </c>
      <c r="G31" s="4">
        <v>24</v>
      </c>
    </row>
    <row r="32" spans="1:7" x14ac:dyDescent="0.25">
      <c r="A32" s="7" t="s">
        <v>65</v>
      </c>
      <c r="F32" s="4">
        <v>30</v>
      </c>
      <c r="G32" s="4">
        <v>24</v>
      </c>
    </row>
    <row r="33" spans="1:7" x14ac:dyDescent="0.25">
      <c r="A33" s="7" t="s">
        <v>66</v>
      </c>
      <c r="F33" s="4">
        <v>31</v>
      </c>
      <c r="G33" s="4">
        <v>24</v>
      </c>
    </row>
    <row r="34" spans="1:7" x14ac:dyDescent="0.25">
      <c r="A34" s="8" t="s">
        <v>53</v>
      </c>
      <c r="F34" s="4">
        <v>32</v>
      </c>
      <c r="G34" s="4">
        <v>24</v>
      </c>
    </row>
    <row r="35" spans="1:7" x14ac:dyDescent="0.25">
      <c r="A35" s="8" t="s">
        <v>54</v>
      </c>
      <c r="F35" s="4">
        <v>33</v>
      </c>
      <c r="G35" s="4">
        <v>24</v>
      </c>
    </row>
    <row r="36" spans="1:7" x14ac:dyDescent="0.25">
      <c r="A36" s="6" t="s">
        <v>77</v>
      </c>
      <c r="F36" s="4">
        <v>34</v>
      </c>
      <c r="G36" s="4">
        <v>24</v>
      </c>
    </row>
    <row r="37" spans="1:7" x14ac:dyDescent="0.25">
      <c r="A37" s="6" t="s">
        <v>78</v>
      </c>
      <c r="F37" s="4">
        <v>35</v>
      </c>
      <c r="G37" s="4">
        <v>24</v>
      </c>
    </row>
    <row r="38" spans="1:7" x14ac:dyDescent="0.25">
      <c r="A38" s="7" t="s">
        <v>67</v>
      </c>
      <c r="F38" s="4">
        <v>36</v>
      </c>
      <c r="G38" s="4">
        <v>24</v>
      </c>
    </row>
    <row r="39" spans="1:7" x14ac:dyDescent="0.25">
      <c r="A39" s="7" t="s">
        <v>68</v>
      </c>
      <c r="F39" s="4">
        <v>37</v>
      </c>
      <c r="G39" s="4">
        <v>24</v>
      </c>
    </row>
    <row r="40" spans="1:7" x14ac:dyDescent="0.25">
      <c r="A40" s="8" t="s">
        <v>55</v>
      </c>
      <c r="F40" s="4">
        <v>38</v>
      </c>
      <c r="G40" s="4">
        <v>24</v>
      </c>
    </row>
    <row r="41" spans="1:7" x14ac:dyDescent="0.25">
      <c r="A41" s="8" t="s">
        <v>56</v>
      </c>
      <c r="F41" s="4">
        <v>39</v>
      </c>
      <c r="G41" s="4">
        <v>24</v>
      </c>
    </row>
    <row r="42" spans="1:7" x14ac:dyDescent="0.25">
      <c r="A42" s="7" t="s">
        <v>63</v>
      </c>
      <c r="F42" s="4">
        <v>40</v>
      </c>
      <c r="G42" s="4">
        <v>24</v>
      </c>
    </row>
    <row r="43" spans="1:7" x14ac:dyDescent="0.25">
      <c r="A43" s="7" t="s">
        <v>64</v>
      </c>
      <c r="F43" s="4">
        <v>41</v>
      </c>
      <c r="G43" s="4">
        <v>24</v>
      </c>
    </row>
    <row r="44" spans="1:7" x14ac:dyDescent="0.25">
      <c r="A44" s="8" t="s">
        <v>51</v>
      </c>
      <c r="F44" s="4">
        <v>42</v>
      </c>
      <c r="G44" s="4">
        <v>24</v>
      </c>
    </row>
    <row r="45" spans="1:7" x14ac:dyDescent="0.25">
      <c r="A45" s="8" t="s">
        <v>52</v>
      </c>
      <c r="F45" s="4">
        <v>43</v>
      </c>
      <c r="G45" s="4">
        <v>24</v>
      </c>
    </row>
    <row r="46" spans="1:7" x14ac:dyDescent="0.25">
      <c r="A46" s="5" t="s">
        <v>19</v>
      </c>
      <c r="F46" s="4">
        <v>44</v>
      </c>
      <c r="G46" s="4">
        <v>24</v>
      </c>
    </row>
    <row r="47" spans="1:7" x14ac:dyDescent="0.25">
      <c r="A47" s="5" t="s">
        <v>13</v>
      </c>
      <c r="F47" s="4">
        <v>45</v>
      </c>
      <c r="G47" s="4">
        <v>24</v>
      </c>
    </row>
    <row r="48" spans="1:7" x14ac:dyDescent="0.25">
      <c r="A48" s="6" t="s">
        <v>18</v>
      </c>
      <c r="F48" s="4">
        <v>46</v>
      </c>
      <c r="G48" s="4">
        <v>24</v>
      </c>
    </row>
    <row r="49" spans="1:7" x14ac:dyDescent="0.25">
      <c r="A49" s="6" t="s">
        <v>9</v>
      </c>
      <c r="F49" s="4">
        <v>47</v>
      </c>
      <c r="G49" s="4">
        <v>24</v>
      </c>
    </row>
    <row r="50" spans="1:7" x14ac:dyDescent="0.25">
      <c r="A50" s="7" t="s">
        <v>25</v>
      </c>
      <c r="F50" s="4">
        <v>48</v>
      </c>
      <c r="G50" s="4">
        <v>24</v>
      </c>
    </row>
    <row r="51" spans="1:7" x14ac:dyDescent="0.25">
      <c r="A51" s="7" t="s">
        <v>15</v>
      </c>
      <c r="F51" s="4">
        <v>49</v>
      </c>
      <c r="G51" s="4">
        <v>36</v>
      </c>
    </row>
    <row r="52" spans="1:7" x14ac:dyDescent="0.25">
      <c r="A52" s="8" t="s">
        <v>17</v>
      </c>
      <c r="F52" s="4">
        <v>50</v>
      </c>
      <c r="G52" s="4">
        <v>36</v>
      </c>
    </row>
    <row r="53" spans="1:7" x14ac:dyDescent="0.25">
      <c r="A53" s="8" t="s">
        <v>8</v>
      </c>
      <c r="F53" s="4">
        <v>51</v>
      </c>
      <c r="G53" s="4">
        <v>36</v>
      </c>
    </row>
    <row r="54" spans="1:7" x14ac:dyDescent="0.25">
      <c r="A54" s="9" t="s">
        <v>26</v>
      </c>
      <c r="F54" s="4">
        <v>52</v>
      </c>
      <c r="G54" s="4">
        <v>36</v>
      </c>
    </row>
    <row r="55" spans="1:7" x14ac:dyDescent="0.25">
      <c r="A55" s="9" t="s">
        <v>14</v>
      </c>
      <c r="F55" s="4">
        <v>53</v>
      </c>
      <c r="G55" s="4">
        <v>36</v>
      </c>
    </row>
    <row r="56" spans="1:7" x14ac:dyDescent="0.25">
      <c r="A56" s="5" t="s">
        <v>35</v>
      </c>
      <c r="F56" s="4">
        <v>54</v>
      </c>
      <c r="G56" s="4">
        <v>36</v>
      </c>
    </row>
    <row r="57" spans="1:7" x14ac:dyDescent="0.25">
      <c r="A57" s="5" t="s">
        <v>22</v>
      </c>
      <c r="F57" s="4">
        <v>55</v>
      </c>
      <c r="G57" s="4">
        <v>36</v>
      </c>
    </row>
    <row r="58" spans="1:7" x14ac:dyDescent="0.25">
      <c r="A58" s="6" t="s">
        <v>27</v>
      </c>
      <c r="F58" s="4">
        <v>56</v>
      </c>
      <c r="G58" s="4">
        <v>36</v>
      </c>
    </row>
    <row r="59" spans="1:7" x14ac:dyDescent="0.25">
      <c r="A59" s="6" t="s">
        <v>28</v>
      </c>
      <c r="F59" s="4">
        <v>57</v>
      </c>
      <c r="G59" s="4">
        <v>36</v>
      </c>
    </row>
    <row r="60" spans="1:7" x14ac:dyDescent="0.25">
      <c r="A60" s="7" t="s">
        <v>20</v>
      </c>
      <c r="F60" s="4">
        <v>58</v>
      </c>
      <c r="G60" s="4">
        <v>36</v>
      </c>
    </row>
    <row r="61" spans="1:7" x14ac:dyDescent="0.25">
      <c r="A61" s="8" t="s">
        <v>12</v>
      </c>
      <c r="F61" s="4">
        <v>59</v>
      </c>
      <c r="G61" s="4">
        <v>36</v>
      </c>
    </row>
    <row r="62" spans="1:7" x14ac:dyDescent="0.25">
      <c r="A62" s="9" t="s">
        <v>95</v>
      </c>
    </row>
    <row r="63" spans="1:7" x14ac:dyDescent="0.25">
      <c r="A63" s="9" t="s">
        <v>16</v>
      </c>
    </row>
    <row r="64" spans="1:7" x14ac:dyDescent="0.25">
      <c r="A64" s="5" t="s">
        <v>24</v>
      </c>
    </row>
    <row r="65" spans="1:1" x14ac:dyDescent="0.25">
      <c r="A65" s="6" t="s">
        <v>21</v>
      </c>
    </row>
    <row r="66" spans="1:1" x14ac:dyDescent="0.25">
      <c r="A66" s="7" t="s">
        <v>23</v>
      </c>
    </row>
    <row r="67" spans="1:1" x14ac:dyDescent="0.25">
      <c r="A67" s="8" t="s">
        <v>11</v>
      </c>
    </row>
    <row r="68" spans="1:1" x14ac:dyDescent="0.25">
      <c r="A68" s="9" t="s">
        <v>29</v>
      </c>
    </row>
    <row r="69" spans="1:1" x14ac:dyDescent="0.25">
      <c r="A69" s="5" t="s">
        <v>90</v>
      </c>
    </row>
    <row r="70" spans="1:1" x14ac:dyDescent="0.25">
      <c r="A70" s="6" t="s">
        <v>85</v>
      </c>
    </row>
    <row r="71" spans="1:1" x14ac:dyDescent="0.25">
      <c r="A71" s="9" t="s">
        <v>30</v>
      </c>
    </row>
  </sheetData>
  <sheetProtection selectLockedCells="1" selectUnlockedCells="1"/>
  <sortState ref="A2:A71">
    <sortCondition ref="A2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Erläuterungen</vt:lpstr>
      <vt:lpstr>Allgemeines</vt:lpstr>
      <vt:lpstr>Zeitplan</vt:lpstr>
      <vt:lpstr>Hilfstabelle</vt:lpstr>
      <vt:lpstr>Zeitplan!Drucktitel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Dres</dc:creator>
  <cp:lastModifiedBy>Petra Dres</cp:lastModifiedBy>
  <cp:lastPrinted>2016-06-05T09:05:47Z</cp:lastPrinted>
  <dcterms:created xsi:type="dcterms:W3CDTF">2015-10-08T07:09:56Z</dcterms:created>
  <dcterms:modified xsi:type="dcterms:W3CDTF">2016-06-08T08:15:52Z</dcterms:modified>
</cp:coreProperties>
</file>